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4"/>
  </bookViews>
  <sheets>
    <sheet name="Приложение 1" sheetId="1" r:id="rId1"/>
    <sheet name="Приложение 3" sheetId="2" r:id="rId2"/>
    <sheet name="Приложение 5" sheetId="3" r:id="rId3"/>
    <sheet name="Приложение 7" sheetId="4" r:id="rId4"/>
    <sheet name="Приложение 8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<sst xmlns="http://schemas.openxmlformats.org/spreadsheetml/2006/main" count="3118" uniqueCount="606">
  <si>
    <t xml:space="preserve">Развитие жилищно-коммунального и 
</t>
  </si>
  <si>
    <t>Прогнозная (справочная) оценка ресурсного обеспечения реализации государственной программы за счет всех источников финансирования</t>
  </si>
  <si>
    <t>Источник финансирования</t>
  </si>
  <si>
    <t>Оценка расходов, тыс. рублей</t>
  </si>
  <si>
    <t>республиканский бюджет Республики Алтай</t>
  </si>
  <si>
    <t>кроме того, средства, планируемые к привлечению из федерального бюджета</t>
  </si>
  <si>
    <t>Территориальный фонд обязательного медицинского страхования Республики Алтай</t>
  </si>
  <si>
    <t>бюджеты муниципальных образований Республики Алтай</t>
  </si>
  <si>
    <t>иные источники</t>
  </si>
  <si>
    <t>Министерство регионального развития Республики Алтай</t>
  </si>
  <si>
    <t>№ п/п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</si>
  <si>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</si>
  <si>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</si>
  <si>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</si>
  <si>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</si>
  <si>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</si>
  <si>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</si>
  <si>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</si>
  <si>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</si>
  <si>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</si>
  <si>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</si>
  <si>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отчет</t>
  </si>
  <si>
    <t>оценка</t>
  </si>
  <si>
    <t>прогноз</t>
  </si>
  <si>
    <t>Государственная программа Развитие жилищно-коммунального и транспортного комплекса</t>
  </si>
  <si>
    <t>1.</t>
  </si>
  <si>
    <t>2.</t>
  </si>
  <si>
    <t>3.</t>
  </si>
  <si>
    <t>Доля населенных пунктов, в которых не обеспечивается требуемый уровень пожарной безопасности, в % от общего числа населенных пунктов;</t>
  </si>
  <si>
    <t>4.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</si>
  <si>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</si>
  <si>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</si>
  <si>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</si>
  <si>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</si>
  <si>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</si>
  <si>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</si>
  <si>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</si>
  <si>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</si>
  <si>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</si>
  <si>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</si>
  <si>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</si>
  <si>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</si>
  <si>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Подпрограмма 1 "Развитие жилищно-коммунального комплекса"</t>
  </si>
  <si>
    <t>Подпрограмма 2 "Развитие транспортного комплекса"</t>
  </si>
  <si>
    <t>2.1.</t>
  </si>
  <si>
    <t>2.2.</t>
  </si>
  <si>
    <t>2.3.</t>
  </si>
  <si>
    <t>2.4.</t>
  </si>
  <si>
    <t>2.5.</t>
  </si>
  <si>
    <t>к государственной программе Республики Алтай</t>
  </si>
  <si>
    <t>"Развитие жилищно-коммунального и</t>
  </si>
  <si>
    <t>транспортного комплекса"</t>
  </si>
  <si>
    <t>транспортного комплекса</t>
  </si>
  <si>
    <t>Перечень основных мероприятий государственной программы</t>
  </si>
  <si>
    <t>Наименование основного мероприятия, мероприятия</t>
  </si>
  <si>
    <t>Основной испольнитель</t>
  </si>
  <si>
    <t xml:space="preserve">Срок выполнения </t>
  </si>
  <si>
    <t xml:space="preserve">Аналитическая ведомственная целевая программа "Повышение эффективности государственного управления в Министерстве регионального развития Республики Алтай" </t>
  </si>
  <si>
    <t>2013-2020 годы</t>
  </si>
  <si>
    <t xml:space="preserve">Аналитическая ведомственная целевая программа "Повышение эффективности государственного регулирования цен и тарифов регулируемых организаций Республики Алтай"                                                                         
</t>
  </si>
  <si>
    <t>Комитет по тарифам Республики Алтай</t>
  </si>
  <si>
    <t xml:space="preserve">Аналитическая ведомственная целевая программа "Повышение эффективности государственного управления в  Государственной жилищной инспекции Республики  Алтай" </t>
  </si>
  <si>
    <t>Государственная жилищная инспекция Республики  Алтай</t>
  </si>
  <si>
    <t xml:space="preserve">Аналитическая ведомственная целевая программа "Повышение эффективности государственного надзора  за техническим состоянием самоходных машин и других видов техники в Инспекции Гостехнадзора Республики Алтай"                                                          </t>
  </si>
  <si>
    <t xml:space="preserve">Повышение эффективности государственного надзора  за техническим состоянием самоходных машин и других видов техники в Инспекции Гостехнадзора Республики Алтай                    </t>
  </si>
  <si>
    <t>5222500</t>
  </si>
  <si>
    <t xml:space="preserve">1. Площадь обследованного жилищного фонда, тыс. кв. м.; 2. Количество плановых  проверок, ед.; 3. Количество внеплановых  проверок при поступлении обращений и заявлений, ед.; 4. Доля устраненных нарушений от общего количества выявленных нарушений в содержании и использовании жилищного фонда, %; 5. Материально-техническая и финансовая  обеспеченность  деятельности  государственных  гражданских служащих  в % от  установленных  Правительством  Республики Алтай  норм, %; 6. Количество государственных гражданских служащих, прошедших обучение и повысивших квалификацию, чел.; 7. Финансовая  обеспеченность мероприятий по уплате налога на имущество и транспортного налога в % от установленных норм, %  </t>
  </si>
  <si>
    <t xml:space="preserve">Инспекция Республики Алтай по надзору за техническим состоянием самоходных машин и других видов техники  </t>
  </si>
  <si>
    <t>1. Процент освоения средств, предусмотренных на финансово-хозяйственное обеспечение деятельности Инспекции, %; 2. Количество работников Инспекции прошедших обучение и повышение уровня квалификации, чел.</t>
  </si>
  <si>
    <t>Министерство образования, науки и молодежной политики РА</t>
  </si>
  <si>
    <t>1. Количество жилых помещений (квартир) в расчете на 1 тыс. человек населения;</t>
  </si>
  <si>
    <t xml:space="preserve">Комплексное развитие систем коммунальной инфраструктуры Республики Алтай                                                                                                                         </t>
  </si>
  <si>
    <t>Целевой показатель подпрограммы, для достижения которого реализуется основное мероприятие</t>
  </si>
  <si>
    <t>5229609</t>
  </si>
  <si>
    <t>5229606</t>
  </si>
  <si>
    <t>321</t>
  </si>
  <si>
    <t>523</t>
  </si>
  <si>
    <t>5225101</t>
  </si>
  <si>
    <t>5225103</t>
  </si>
  <si>
    <t>5225106</t>
  </si>
  <si>
    <t>810</t>
  </si>
  <si>
    <t>5057000</t>
  </si>
  <si>
    <t>530</t>
  </si>
  <si>
    <t>5221510</t>
  </si>
  <si>
    <t>6222200</t>
  </si>
  <si>
    <t>880</t>
  </si>
  <si>
    <t>5225800</t>
  </si>
  <si>
    <t>611</t>
  </si>
  <si>
    <t>413</t>
  </si>
  <si>
    <t>6229100</t>
  </si>
  <si>
    <t>612</t>
  </si>
  <si>
    <t>5223900</t>
  </si>
  <si>
    <t>244</t>
  </si>
  <si>
    <t>1008820</t>
  </si>
  <si>
    <t>121</t>
  </si>
  <si>
    <t>122</t>
  </si>
  <si>
    <t>242</t>
  </si>
  <si>
    <t>831</t>
  </si>
  <si>
    <t>851</t>
  </si>
  <si>
    <t>852</t>
  </si>
  <si>
    <t>4287800</t>
  </si>
  <si>
    <t>111</t>
  </si>
  <si>
    <t>112</t>
  </si>
  <si>
    <t>226</t>
  </si>
  <si>
    <t xml:space="preserve">Развитие систем электроэнергетики, в том чмсле малой гидроэнергетики Республики Алтай                                                </t>
  </si>
  <si>
    <t xml:space="preserve">1. Количество введенных в эксплуатацию в соответствии с утвержденными инвестиционными программами объектов электросетевого хозяйства; 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</si>
  <si>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Алтай»</t>
  </si>
  <si>
    <t>6222100</t>
  </si>
  <si>
    <t>Развитие воздушного транспорта</t>
  </si>
  <si>
    <t xml:space="preserve">Обеспечение деятельности БУ РА «Республиканское управление автомобильных дорог общего пользования «Горно-Алтайавтодор»  </t>
  </si>
  <si>
    <t xml:space="preserve">1. Доля транспортных средств организаций жилищно-коммунального хозяйства, транспортного обслуживания населения, оснащенных системами ГЛОНАСС (процентов);
</t>
  </si>
  <si>
    <t xml:space="preserve">Комплексные меры профилактики правонарушений и повышения безопасности дорожного движения                                                      </t>
  </si>
  <si>
    <t>Х</t>
  </si>
  <si>
    <t xml:space="preserve">Министерство   образования, науки и молодежной политики Республики Алтай  </t>
  </si>
  <si>
    <t>Министерство здравоохранения Республики Алтай</t>
  </si>
  <si>
    <t>Внедрение регионального сегмента Единой информационно-аналитической системы ФСТ России</t>
  </si>
  <si>
    <t xml:space="preserve">"Развитие жилищно-коммунального и </t>
  </si>
  <si>
    <t>Ресурсное обеспечение реализации государственной программы за счет средств республиканского бюджета Республики Алтай</t>
  </si>
  <si>
    <t>Статус</t>
  </si>
  <si>
    <t>Наименование государственной программы, подпрограммы, основного мероприятия, мероприятия</t>
  </si>
  <si>
    <t>Администратор, соисполнитель</t>
  </si>
  <si>
    <t>Код государственной программы</t>
  </si>
  <si>
    <t>Код бюджетной классификации</t>
  </si>
  <si>
    <t>Расходы республиканского бюджета Республики Алтай, тыс. рублей</t>
  </si>
  <si>
    <t>ГП</t>
  </si>
  <si>
    <t>ПП</t>
  </si>
  <si>
    <t>ОМ</t>
  </si>
  <si>
    <t>М</t>
  </si>
  <si>
    <t>ГРБС</t>
  </si>
  <si>
    <t>Рз</t>
  </si>
  <si>
    <t>Пр</t>
  </si>
  <si>
    <t>ЦС</t>
  </si>
  <si>
    <t>ВР</t>
  </si>
  <si>
    <t>Государственная программа</t>
  </si>
  <si>
    <t>РАЗВИТИЕ ЖИЛИЩНО-КОММУНАЛЬНОГО И ТРАНСПОРТНОГО КОМПЛЕКСА</t>
  </si>
  <si>
    <t>всего</t>
  </si>
  <si>
    <t>Инспекция Республики Алтай по надзору за техническим состоянием самоходных машин и других видов техники</t>
  </si>
  <si>
    <t>Комитет ветеринарии с Госветинспекцией Республики Алтай</t>
  </si>
  <si>
    <t>Комитет занятости населения Республики Алтай</t>
  </si>
  <si>
    <t>Комитет по делам архивов Республики Алтай</t>
  </si>
  <si>
    <t>Комитет по охране, использованию и воспроизводству объектов животного мира Республики Алтай</t>
  </si>
  <si>
    <t>Комитет по физической культуре и спорту Республики Алтай</t>
  </si>
  <si>
    <t>Министерство имущественных отношений Республики Алтай</t>
  </si>
  <si>
    <t>Министерство культуры Республики Алтай</t>
  </si>
  <si>
    <t>Министерство лесного хозяйства Республики Алтай</t>
  </si>
  <si>
    <t>Министерство образования, науки и молодежной политики Республики Алтай</t>
  </si>
  <si>
    <t>Министерство сельского хозяйства Республики Алтай</t>
  </si>
  <si>
    <t>Министерство труда и социального развития Республики Алтай</t>
  </si>
  <si>
    <t>Министерство туризма и предпринимательства Республики Алтай</t>
  </si>
  <si>
    <t>Министерство финансов Республики Алтай</t>
  </si>
  <si>
    <t>Министерство экономического развития и инвестиций Республики Алтай</t>
  </si>
  <si>
    <t>Правительство Республики Алтай</t>
  </si>
  <si>
    <t xml:space="preserve">Аналитическая ведомственная целевая программа 1 </t>
  </si>
  <si>
    <t xml:space="preserve">Повышение эффективности государственного управления в Министерстве регионального развития Республики Алтай </t>
  </si>
  <si>
    <t>02</t>
  </si>
  <si>
    <t>01</t>
  </si>
  <si>
    <t>14</t>
  </si>
  <si>
    <t>907</t>
  </si>
  <si>
    <t>04</t>
  </si>
  <si>
    <t>12</t>
  </si>
  <si>
    <t>0020400</t>
  </si>
  <si>
    <t xml:space="preserve">Аналитическая ведомственная целевая программа 2 </t>
  </si>
  <si>
    <t xml:space="preserve">Повышение эффективности государственного регулирования цен и тарифов регулируемых организаций Республики Алтай                                                                         </t>
  </si>
  <si>
    <t>15</t>
  </si>
  <si>
    <t>915</t>
  </si>
  <si>
    <t xml:space="preserve">Аналитическая ведомственная целевая программа 3  </t>
  </si>
  <si>
    <t>Повышение эффективности государственного управления в  Государственной жилищной инспекции Республики  Алтай</t>
  </si>
  <si>
    <t>16</t>
  </si>
  <si>
    <t>908</t>
  </si>
  <si>
    <t>05</t>
  </si>
  <si>
    <t xml:space="preserve">Аналитическая ведомственная целевая программа 4                                       </t>
  </si>
  <si>
    <t xml:space="preserve">Повышение эффективности государственного надзора  за техническим состоянием самоходных машин и других видов техники в Инспекции Республики Алтай                    </t>
  </si>
  <si>
    <t>17</t>
  </si>
  <si>
    <t>920</t>
  </si>
  <si>
    <t>08</t>
  </si>
  <si>
    <t xml:space="preserve">Подпрограмма 1 </t>
  </si>
  <si>
    <t>Развитие жилищно-коммунального комплекса</t>
  </si>
  <si>
    <t>Министерство регионального развития РА</t>
  </si>
  <si>
    <t>Государственная жилищная инспекция Республики Алтай</t>
  </si>
  <si>
    <t>Основное мероприятие</t>
  </si>
  <si>
    <t>903</t>
  </si>
  <si>
    <t>10</t>
  </si>
  <si>
    <t>03</t>
  </si>
  <si>
    <t>5229604</t>
  </si>
  <si>
    <t>521</t>
  </si>
  <si>
    <t>912</t>
  </si>
  <si>
    <t>06</t>
  </si>
  <si>
    <t>07</t>
  </si>
  <si>
    <t>921</t>
  </si>
  <si>
    <t>918</t>
  </si>
  <si>
    <t>09</t>
  </si>
  <si>
    <t>11</t>
  </si>
  <si>
    <t>13</t>
  </si>
  <si>
    <t xml:space="preserve">Подпрограмма 2 </t>
  </si>
  <si>
    <t>Развитие транспортного комплекса</t>
  </si>
  <si>
    <t>Приложение № 8</t>
  </si>
  <si>
    <t>5225108</t>
  </si>
  <si>
    <t>5229612</t>
  </si>
  <si>
    <t>5225107</t>
  </si>
  <si>
    <t>241</t>
  </si>
  <si>
    <t>5225109</t>
  </si>
  <si>
    <t xml:space="preserve">Обеспечение пожарной безопасности населения в Республике Алтай                                                               
</t>
  </si>
  <si>
    <t xml:space="preserve">Организация мероприятий по защите населения и территории Республики Алтай от чрезвычайных ситуаций                                                                                       </t>
  </si>
  <si>
    <t>"Приложение № 7</t>
  </si>
  <si>
    <t xml:space="preserve">Комплексные меры профилактики правонарушений и повышения безопасности дорожного движения                           </t>
  </si>
  <si>
    <t>5221530</t>
  </si>
  <si>
    <t>360</t>
  </si>
  <si>
    <t>5225105</t>
  </si>
  <si>
    <t>Целевой индикатор основного мероприятия</t>
  </si>
  <si>
    <t xml:space="preserve">Организация мероприятий по защите населения и территории Республики Алтай от чрезвычайных ситуаций           </t>
  </si>
  <si>
    <t xml:space="preserve">Обеспечение пожарной безопасности в Республике Алтай                                                          
</t>
  </si>
  <si>
    <t>"Приложение № 3</t>
  </si>
  <si>
    <t xml:space="preserve">Обеспечение технического состояния самоходной техники, тракторов, дорожно-строительных машин, прицепов к ним и другой техники в инспекции Гостехнадзора Республики Алтай </t>
  </si>
  <si>
    <t>6229102</t>
  </si>
  <si>
    <t>0016700</t>
  </si>
  <si>
    <t>1.13.</t>
  </si>
  <si>
    <t>Развитие жилищно-коммунального и
транспортного комплекса</t>
  </si>
  <si>
    <t xml:space="preserve">Прогноз сводных показателей государственных заданий на оказание государственных услуг (выполнение работ) </t>
  </si>
  <si>
    <t>государственными учреждениями Республики Алтай в рамках государственной программы</t>
  </si>
  <si>
    <t>Наименование государственной услуги (работы)</t>
  </si>
  <si>
    <t>Наименование показателя, характеризующего объем услуги (работы)</t>
  </si>
  <si>
    <t>Единица измерения объема государственной услуги</t>
  </si>
  <si>
    <t>Финансовый норматив стоимости единицы услуги, руб.</t>
  </si>
  <si>
    <t>Значение показателя объема государственной услуги</t>
  </si>
  <si>
    <t>Расходы бюджета Республики Алтай на оказание государственной услуги (выполнение работы), тыс. рублей</t>
  </si>
  <si>
    <t>Целевой показатель подпрограммы, для достижения которого оказывается услуга (выполняется работа)</t>
  </si>
  <si>
    <t xml:space="preserve">единиц 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</si>
  <si>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значения, %</t>
  </si>
  <si>
    <t>1.1.2.</t>
  </si>
  <si>
    <t>Выдача специальных разрешений на период временного ограничения движения на проезд в период возникновения неблагоприятных природно-климатических условий, в случае снижения несущей способности конструктивных элементов автомобильных дорог общего пользования регионального значения Республики Алтай</t>
  </si>
  <si>
    <t>Количество выданных специальных разрешений на период временного ограничения движения на проезд в период возникновения неблагоприятных природно-климатических условий, в случае снижения несущей способности конструктивных элементов автомобильных дорог общего пользования регионального значения Республики Алтай</t>
  </si>
  <si>
    <t>1.1.3.</t>
  </si>
  <si>
    <t>Согласование размещения объектов дорожного сервиса и иных сооружений, в границах полос отвода автомобильных дорог общего пользования регионального значения Республики Алтай</t>
  </si>
  <si>
    <t>Количество обратившихся заявителей за получением согласования размещения объектов дорожного сервиса и иных сооружений, в границах полосы отвода автомобильной дороги общего пользования регионального значения Республики Алтай</t>
  </si>
  <si>
    <t>человек</t>
  </si>
  <si>
    <t>1.1.4.</t>
  </si>
  <si>
    <t>Установление стоимости и перечня услуг по присоединению объектов дорожного сервиса к автомобильным дорогам общего пользования регионального или межмуниципального значения</t>
  </si>
  <si>
    <t>Установлена стоимость услуги по присоединению объектов дорожного сервиса к автомобильным дорогам общего пользования регионального или межмуниципального значения</t>
  </si>
  <si>
    <t>штук</t>
  </si>
  <si>
    <t>1.1.5.</t>
  </si>
  <si>
    <t>Расчет платы за возмещение вреда, причиняемого транспортными средствами, осуществляющими перевозки тяжеловесных грузов по автомобильным дорогам общего пользования регионального значения Республики Алтай</t>
  </si>
  <si>
    <t>Количество произведенных расчетов платы за возмещение вреда, причиняемого транспортными средствами, осуществляющими перевозки тяжеловесных грузов по автомобильным дорогам общего пользования регионального значения Республики Алтай</t>
  </si>
  <si>
    <t>1.1.6.</t>
  </si>
  <si>
    <t>Информационное обеспечение пользователей автомобильных дорог общего пользования регионального или межмуниципального значения в Республике Алтай</t>
  </si>
  <si>
    <t>Еженедельное обновление оффициального сайта КУ РА "РУАД "Горно-Алтайавтодор"</t>
  </si>
  <si>
    <t>единиц</t>
  </si>
  <si>
    <t>1.1.7.</t>
  </si>
  <si>
    <t>Осуществление функций заказчика-застройщика по строительству, реконструкции автомобильных дорог общего пользования регионального значения Республики Алтай и искусственных сооружений на них, с осуществлением строительного контроля на объектах</t>
  </si>
  <si>
    <t>Количество объектов дорожного хозяйства, по которым проводится строительный контроль в текущем финансовом году</t>
  </si>
  <si>
    <t>Осуществление функций заказчика-застройщика по капитальному ремонту, ремонту и содержанию автомобильных дорог общего пользования регионального значения Республики Алтай и искусственных сооружений на них, с осуществлением строительного контроля на объектах</t>
  </si>
  <si>
    <t>Количество объектов дорожного хозяйства, по которым проводится строительный контроль в текущем финансовом год</t>
  </si>
  <si>
    <t>"Приложение № 5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</si>
  <si>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значения, %";</t>
  </si>
  <si>
    <t>1. Количество введенных в эксплуатацию генерирующих источников электроэнергии в Республике Алтай, ед.;
2. Количество введенных в эксплуатацию объектов электросетевого хозяйства, ед.;
3. Доля муниципальных поселений, не обеспеченных централизованным электроснабжением, применяющих автономные системы элетроснабжения, в общем количестве муниципальных поселений данной категории, %;</t>
  </si>
  <si>
    <t>Количество погибших людей, чел.; Численность населения, получившего травмы, чел.; Сокращение материального ущерба от пожаров по отношению к прошедщему году, %</t>
  </si>
  <si>
    <t>1.Уровень финансовой обеспеченности деятельности государственных гражданских служащих Министерства регионального развития Республики Алтай по отношению к утвержденным нормам, %; 2.Уровень материально-технической обеспеченности деятельности государственных гражданских служащих по отношению к утвержденным нормам, %; 3.Доля гражданских служащих Министерства и подведомственных учреждений, прошедших аттестацию, от общего количества аттестуемых гражданских служащих, %; 4. Доля технически исправных автотранспортных средств от общего количества транспортных средств,%; 5. Финансовая обеспеченность мероприятий по уплате налога на имущество и земельного налога  от установленных норм, %</t>
  </si>
  <si>
    <t>Процент освоения средств, предусмотренных на финансово-хозяйственное обеспечение деятельности Комитета, %</t>
  </si>
  <si>
    <t>Приложение № 1</t>
  </si>
  <si>
    <t>Сведения о составе и значениях целевых показателей государственной программы</t>
  </si>
  <si>
    <t>Наименование целевого показателя</t>
  </si>
  <si>
    <t>Единица измерения</t>
  </si>
  <si>
    <t>Значения целевых показателей</t>
  </si>
  <si>
    <t>Обеспеченность жильем населения Республики Алтай</t>
  </si>
  <si>
    <t>%</t>
  </si>
  <si>
    <t>Уровень износа коммунальной инфраструктуры</t>
  </si>
  <si>
    <t>5.</t>
  </si>
  <si>
    <t>Доля протяженности автомобильных дорор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</t>
  </si>
  <si>
    <t>6.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</si>
  <si>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</t>
  </si>
  <si>
    <t>7.</t>
  </si>
  <si>
    <t>Количество пассажиров, перевезенных через  Аэропорт Горно-Алтайск</t>
  </si>
  <si>
    <t>Площадь земельных участков, предоставленных для жилищного строительства и комплексного освоения в целях жилищного строительства, в расчете на душу населения Республики Алтай</t>
  </si>
  <si>
    <t>квадратных метров</t>
  </si>
  <si>
    <t>Доля населения, проживающего в многоквартирных домах, признанных в установленном порядке аварийными</t>
  </si>
  <si>
    <t>Доля населенных пунктов, в которых не обеспечивается требуемый уровень пожарной безопасности</t>
  </si>
  <si>
    <t>% от общего числа населенных пунктов</t>
  </si>
  <si>
    <t>Доля утечек и неучтенного расхода воды в суммарном объеме воды, поданной в сеть</t>
  </si>
  <si>
    <t>Доля потерь тепловой энергии в суммарном объеме отпуска тепловой энергии</t>
  </si>
  <si>
    <t>Доля организаций коммунального комплекса с долей участия в уставном капитале субъектов Российской Федерации и (или) муниципальных образований не более чем 25 процентов, осуществляющих производство товаров, оказание услуг по электро-, газо-, тепло-, водоснабжению, водоотведению, очистке сточных вод, а также эксплуатацию объектов для утилизации (захоронения) твердых бытовых отходов, использующих объекты коммунальной инфраструктуры на праве частной собственности, по договору аренды или концессионному соглашению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</si>
  <si>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потребляемой на территории Республики Алтай, в том числе:</t>
  </si>
  <si>
    <t>электрической энергии</t>
  </si>
  <si>
    <t>тепловой энергии</t>
  </si>
  <si>
    <t>горячей воды</t>
  </si>
  <si>
    <t>холодной воды</t>
  </si>
  <si>
    <t>природного газа</t>
  </si>
  <si>
    <t>Экономия коммунальных ресурсов в натуральном и стоимостном выражении, в том числе:</t>
  </si>
  <si>
    <t>1.10.1.</t>
  </si>
  <si>
    <t>тыс. кВт/ч и тыс. рублей</t>
  </si>
  <si>
    <t>1,2/2,59</t>
  </si>
  <si>
    <t>19,2/41,36</t>
  </si>
  <si>
    <t>21,81/46,97</t>
  </si>
  <si>
    <t>24,67/53,13</t>
  </si>
  <si>
    <t>27,81/59,91</t>
  </si>
  <si>
    <t>31,29/67,39</t>
  </si>
  <si>
    <t>35,13/75,68</t>
  </si>
  <si>
    <t>39,42/84,9</t>
  </si>
  <si>
    <t>44,2/95,21</t>
  </si>
  <si>
    <t>49,57/106,77</t>
  </si>
  <si>
    <t>1.10.2.</t>
  </si>
  <si>
    <t>Гкал и тыс. рублей</t>
  </si>
  <si>
    <t>4,67/7696,28</t>
  </si>
  <si>
    <t>74,68/         123101,84</t>
  </si>
  <si>
    <t>84,82/          139820,98</t>
  </si>
  <si>
    <t>95,95/         158160,01</t>
  </si>
  <si>
    <t>108,19/          178336,99</t>
  </si>
  <si>
    <t>121,7/           200609,79</t>
  </si>
  <si>
    <t>136,67/            225285,51</t>
  </si>
  <si>
    <t>153,32/        252732,83</t>
  </si>
  <si>
    <t>171,92/           283398,13</t>
  </si>
  <si>
    <t>192,81/        317827,09</t>
  </si>
  <si>
    <t>1.10.3.</t>
  </si>
  <si>
    <t>воды</t>
  </si>
  <si>
    <t>куб. метров и тыс. рублей</t>
  </si>
  <si>
    <t>2,75/48,01</t>
  </si>
  <si>
    <t>43,98/           767,95</t>
  </si>
  <si>
    <t>49,96/        872,24</t>
  </si>
  <si>
    <t>56,51/            986,65</t>
  </si>
  <si>
    <t>63,72/          1112,52</t>
  </si>
  <si>
    <t>71,68/           1251,46</t>
  </si>
  <si>
    <t>80,49/           1405,4</t>
  </si>
  <si>
    <t>90,3/              1576,62</t>
  </si>
  <si>
    <t>101,26/         1767,92</t>
  </si>
  <si>
    <t>113,56/        1982,7</t>
  </si>
  <si>
    <t>1.10.4.</t>
  </si>
  <si>
    <t>2,75/0</t>
  </si>
  <si>
    <t>43,98/0</t>
  </si>
  <si>
    <t>49,96/0</t>
  </si>
  <si>
    <t>56,51/0</t>
  </si>
  <si>
    <t>63,72/0</t>
  </si>
  <si>
    <t>71,68/0</t>
  </si>
  <si>
    <t>80,49/0</t>
  </si>
  <si>
    <t>90,3/0</t>
  </si>
  <si>
    <t>101,26/0</t>
  </si>
  <si>
    <t>113,56/0</t>
  </si>
  <si>
    <t>Удовлетворенность населения жилищно-коммунальными услугами</t>
  </si>
  <si>
    <t>% от числа опрошенных</t>
  </si>
  <si>
    <t>Количество выдаваемых ипотечных жилищных кредитов в год</t>
  </si>
  <si>
    <t>Количество лиц, пострадавших в результате дорожно-транспортных происшествий</t>
  </si>
  <si>
    <t>чел.</t>
  </si>
  <si>
    <t xml:space="preserve">Доля дорожно-транспортных происшествий, совершению которых сопутствовало наличие неудовлетворительных дорожных условий, в общем количестве дорожно-транспортных происшествий </t>
  </si>
  <si>
    <t xml:space="preserve">Доля транспортных средств организаций жилищно-коммунального хозяйства, транспортного обслуживания населения, оснащенных системами ГЛОНАСС </t>
  </si>
  <si>
    <t>Доля площади ликвидированного аварийного жилищного фонда в текущем году от общей площади аварийного жилищного фонда установленного по состоянию на 01.01.2012 года</t>
  </si>
  <si>
    <t xml:space="preserve">Доля земельных участков, предоставленных и подлежащих предоставлению для жилищного строительства семьям, имеющим трех и более детей, обеспеченных инженерной инфраструктурой </t>
  </si>
  <si>
    <t xml:space="preserve">Количество погибших и пострадавших в чрезвычайных ситуациях и на воде, чел.; Уровень информирования населения о фактах и угрозах чрезвычайных ситуаций и происшествий, а так же правила поведения в складывающихся ситуациях, %; Численность населения, обученнего по вопросам реагирования в случае угрозы или возникновения чрезвычайных ситуаций, при пожарах, чел.; Снижение ущерба от чрезвычайных ситуаций по отношению к показателям 2009 года, в том числе: снижение количества гибели людей, снижение количества пострадавшего населения, %; Повышение уровня запасов материально-технических, продовольственных, медицинских и иных средств (мобилизационный резерв) по отношению к показателю прошедшего года, %;Оснащенность ПСО Республики Алтай личным снаряжением и имуществом для проведения аварийно-спасательных работ, %. </t>
  </si>
  <si>
    <t>Развитие информационно-коммуникационной инфраструктуры малочисленных сел Республики Алтай</t>
  </si>
  <si>
    <t>Доля муниципальных образований обеспеченных сотовой связью, %</t>
  </si>
  <si>
    <t>1.21.</t>
  </si>
  <si>
    <t>Удельный вес введенной общей площади жилых домов по отношению к общей площади жилищного фонда к предыдущему году</t>
  </si>
  <si>
    <t>Развитие жилищного строительства на территории Республики Алтай</t>
  </si>
  <si>
    <t xml:space="preserve">1. Уровень аварийности на участках теплоснабжения. %;                 2. Уровень износа тепловых сетей, %. </t>
  </si>
  <si>
    <t xml:space="preserve">Повышение устойчивости жилых домов, основных объектов и систем жизнеобеспечения в Республике Алтай                             </t>
  </si>
  <si>
    <t>Годовой объем ввода жилья, соответствующего стандартам экономического класса</t>
  </si>
  <si>
    <t>Доля семей, желающих улучшить свои жилищные условия, обеспеченных доступным и комфортным жильем</t>
  </si>
  <si>
    <t xml:space="preserve">Снижение средней стоимости одного квадратного метра жилья на первичном рынке, с учетом индекса дефлятора на соответствующий год по виду экономической деятельности "строительство" (в процентах к уровню 2012 года) </t>
  </si>
  <si>
    <t>Превышение среднего уровня процентной ставки по ипотечному жилищному кредиту (в рублях) над индексом потребительских цен</t>
  </si>
  <si>
    <t>процентных пунктов</t>
  </si>
  <si>
    <t>1.24.</t>
  </si>
  <si>
    <t>Доля общей площади капитально отремонтированных многоквартирных домов в общей площади многоквартирных домов, построенных до 2000 года</t>
  </si>
  <si>
    <t>%, нарастающим итогом</t>
  </si>
  <si>
    <t>Количество граждан,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</si>
  <si>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 xml:space="preserve">тыс. человек  </t>
  </si>
  <si>
    <t>Льготная ипотека для молодых учителей в Республике Алтай</t>
  </si>
  <si>
    <t>Повышение результативности предоставления межбюджетных трансфертов муниципальным образованиям Республики Алтай по переданным полномочиям органам местного самоуправления</t>
  </si>
  <si>
    <t xml:space="preserve">Развитие систем водоснабжения и водоотведения на территории Республики Алтай </t>
  </si>
  <si>
    <t xml:space="preserve">Проведение капитального ремонта общего имущества в многоквартирных домах в Республике Алтай </t>
  </si>
  <si>
    <t>Количество введенных в эксплуатацию в соответствии с утвержденными инвестиционными программами объектов электросетевого хозяйства</t>
  </si>
  <si>
    <t>1.10.5.</t>
  </si>
  <si>
    <t>убрать</t>
  </si>
  <si>
    <t>1. Количество молодых учителей общеобразовательных учреждений  приобрели жильё с помощью ипотечных жилищных кредитов при оказании содействия за счёт предоставления   субсидий из средств республиканского   бюджета Республики Алтай и   федерального бюджета, единиц.</t>
  </si>
  <si>
    <t xml:space="preserve">1. Экономия коммунальных ресурсов в натуральном и стоимостном выражении, в том числе: электрической энергии, тепловой энергии, горячей воды, холодной воды, природного газа; </t>
  </si>
  <si>
    <t>1. Снижение доли потерь коммунальных ресурсов при их передаче, %;                                                                                                                  2. Снижение объема потребленных в государственных (муниципальных) бюджетных учреждениях воды, дизельного и иного топлива, мазута, природного газа, тепловой энергии, электрической энергии, угля ежегодно не менее 3 процентов, каждого из указанных ресурсов по отношению к предыдущему году;                                                       3. Снижение энергоемкости валового регионального продукта;               4. Снижение расходов автотранспортных предприятий на приобретение ГСМ на 9%</t>
  </si>
  <si>
    <t>1. Доля населения, имеющего доступ к централизованному водоснабжению, %;
2. Доля населения, потребляющего питьевую воду надлежащего качества, %;
3. Доля потерь воды в системах централизованного водоснабжения от общего объема воды поданного в сеть, %;                                          4. Доля пропуска сточных вод через очистные сооружения города Горно-Алтайска от общего объема жидких отходов по Республике Алтай, %</t>
  </si>
  <si>
    <t>1. Доля утечек и неучтенного расхода воды в суммарном объеме воды, поданной в сеть;                                                                                           2. Уровень износа коммунальной инфраструктуры;</t>
  </si>
  <si>
    <t xml:space="preserve">1. Количество сейсмоусиленных объектов жилого и общественного назначения, единиц; 
2. Общая площадь зданий и сооружений, по которым ликвидирован дефицит сейсмостойкости, тыс.кв.м;
3. Размер предотвращенного ущерба от возможного разрушения жилых домов, основных объектов и систем жизнеобеспечения в результате землетрясений, тыс. рублей.
</t>
  </si>
  <si>
    <t xml:space="preserve">1. Количество часов отключения электроэнергии в зонах децентрализованного электроснабжения на территории Республики Алтай;
2. Перерывы в подаче электрической энергии населению в зонах децентрализованного электроснабжения на территории Республики Алтай;
3. Годовой максимум потребления электрической энергии населением в зонах децентрализованного электроснабжения на территории Республики Алтай.
4. Количество выданных Государственных жилищных сертификатов;                                                   </t>
  </si>
  <si>
    <t>1. Доля общей площади капитально отремонтированных многоквартирных домов в общей площади многоквартирных домов, построенных до 2000 года;                                                 2. Количество граждан,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</si>
  <si>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 xml:space="preserve">1.Доля муниципальных образований обеспеченных сотовой связью, %; 
2. Телефонная плотность сотовой связи на 1000 человек населения.
3. Количество построенных базовых станций сотовой связи;
4. Выпуск рекламных брошюр, плакатов, размещение информации в газетах.
5. Доля малочисленных сел обеспеченных сотовой связью, %;
6. Количество подключенных к сети абонентских устройств, единиц. 
</t>
  </si>
  <si>
    <t>1. Создание РНИЦ с подсистемами мониторинга по основным направлениям жизнедеятельности Республики Алтай, включая внедрение единой многофункциональной навигационной платформы Республики Алтай;                                                      2. Доля органов государственной власти, государственных учреждений и администраций муниципальных образований, подключенных к РНИЦ Республики Алтай, от их общего числа, %;                                                                                                       3. Доля транспортных средств служб экстренного реагирования, оснащенных системами ГЛОНАСС, в общем объеме транспортных средств служб экстренного реагирования, %;                                                                                                   4. Доля транспортных средств организаций жилищно-коммунального хозяйства, оснащенных системами ГЛОНАСС, от их общего количества, %;                                                          5. Доля транспортных средств, используемых для перевозки опасных грузов, оснащенных системами ГЛОНАСС, от их общего количества, %;                                                                         6. Доля выполненных рейсов по маршрутам регулярного сообщения автомобильного транспорта общего пользования транспортными средствами, оснащенными системами ГЛОНАСС, в общем объеме указанных рейсов, %</t>
  </si>
  <si>
    <t>1. Количество лиц, пострадавших в результате дорожно-транспортных происшествий;                                                                                                           2. Доля дорожно-транспортных происшествий, совершению которых сопутствовало наличие неудовлетворительных дорожных условий, в общем количестве дорожно-транспортных происшествий (процентов).</t>
  </si>
  <si>
    <t xml:space="preserve">1. Количество отправленных постановлений о наложении административных штрафов за нарушение Правил дорожного движения РФ;                                                                               2. Количество единиц сданного добровольно населением оружия.                                                                                           3. Снижение количества проишедших дорожно-транспортных происшествий, единиц; </t>
  </si>
  <si>
    <t>2.6.</t>
  </si>
  <si>
    <t xml:space="preserve">Повышение устойчивости жилых домов, основных объектов и систем жизнеобеспечения в Республике Алтай                                 </t>
  </si>
  <si>
    <t>5100300</t>
  </si>
  <si>
    <t>5229605</t>
  </si>
  <si>
    <t>421</t>
  </si>
  <si>
    <t>5221540</t>
  </si>
  <si>
    <t>1008299</t>
  </si>
  <si>
    <t>Проведение капитального ремонта общего имущества в многоквартирных домах в Республике Алтай</t>
  </si>
  <si>
    <t>0980101</t>
  </si>
  <si>
    <t>0980102</t>
  </si>
  <si>
    <t>0980201</t>
  </si>
  <si>
    <t>0980202</t>
  </si>
  <si>
    <t>0923400</t>
  </si>
  <si>
    <t>901</t>
  </si>
  <si>
    <t>622</t>
  </si>
  <si>
    <t>450</t>
  </si>
  <si>
    <t>5227610</t>
  </si>
  <si>
    <t>020М907</t>
  </si>
  <si>
    <t>020П907</t>
  </si>
  <si>
    <t>020М915</t>
  </si>
  <si>
    <t>020М920</t>
  </si>
  <si>
    <t>020М908</t>
  </si>
  <si>
    <t>020П908</t>
  </si>
  <si>
    <t>021Х000</t>
  </si>
  <si>
    <t>0228000</t>
  </si>
  <si>
    <t>0211570</t>
  </si>
  <si>
    <t>0224000</t>
  </si>
  <si>
    <t>0222000</t>
  </si>
  <si>
    <t>02210Д1</t>
  </si>
  <si>
    <t>414</t>
  </si>
  <si>
    <t>02210Д2</t>
  </si>
  <si>
    <t>0214002</t>
  </si>
  <si>
    <t>0219601</t>
  </si>
  <si>
    <t>630</t>
  </si>
  <si>
    <t>021Ш000</t>
  </si>
  <si>
    <t>021Б002</t>
  </si>
  <si>
    <t>0216000</t>
  </si>
  <si>
    <t>0227501</t>
  </si>
  <si>
    <t>0227502</t>
  </si>
  <si>
    <t>522</t>
  </si>
  <si>
    <t>0214501</t>
  </si>
  <si>
    <t>0219602</t>
  </si>
  <si>
    <t>021Б512</t>
  </si>
  <si>
    <t>021Б511</t>
  </si>
  <si>
    <t>0218501</t>
  </si>
  <si>
    <t>021Б522</t>
  </si>
  <si>
    <t>021Б513</t>
  </si>
  <si>
    <t>021О000</t>
  </si>
  <si>
    <t>4362400</t>
  </si>
  <si>
    <t>021К000</t>
  </si>
  <si>
    <t>18</t>
  </si>
  <si>
    <t>19</t>
  </si>
  <si>
    <t>20</t>
  </si>
  <si>
    <t>21</t>
  </si>
  <si>
    <t>22</t>
  </si>
  <si>
    <t>23</t>
  </si>
  <si>
    <t>Наименование государственной программы</t>
  </si>
  <si>
    <t>Развитие жилищно-коммунального и транспортного комплекса</t>
  </si>
  <si>
    <t>Администратор государственной программы</t>
  </si>
  <si>
    <t>ФБ</t>
  </si>
  <si>
    <t>РБ</t>
  </si>
  <si>
    <t>МБ</t>
  </si>
  <si>
    <t>ВБ</t>
  </si>
  <si>
    <t>Государственная поддержка молодых семей</t>
  </si>
  <si>
    <t>Обеспечение комплексного жилищного строительства земельными участками</t>
  </si>
  <si>
    <t>Софинансирование объектов капитального строительства собственности МО (Катунский промузел ПСД)</t>
  </si>
  <si>
    <t>Жилищное строительство</t>
  </si>
  <si>
    <t>ВСЕГО:</t>
  </si>
  <si>
    <t>Министерство образования</t>
  </si>
  <si>
    <t>Переселение граждан из аварийного жилищного фонда</t>
  </si>
  <si>
    <t>Капремонт дворовых территорий</t>
  </si>
  <si>
    <t>Градостроительная документация</t>
  </si>
  <si>
    <t>градостроительные нормативы</t>
  </si>
  <si>
    <t>Самый благоустроенный населенный пункт</t>
  </si>
  <si>
    <t>Предоставление соц выплат по ипотеке</t>
  </si>
  <si>
    <t>коммунальная инфраструктура</t>
  </si>
  <si>
    <t xml:space="preserve">Расходы предприятий </t>
  </si>
  <si>
    <t>Строительство подъездной дороги Катунский промузел</t>
  </si>
  <si>
    <t>Субсидии учителям</t>
  </si>
  <si>
    <t>Минобр</t>
  </si>
  <si>
    <t>Развитие ипотечного жилищного кредитования</t>
  </si>
  <si>
    <t>Взнос в уставной капитал А И Ж К</t>
  </si>
  <si>
    <t xml:space="preserve">Развитие предприятий промышленности строительных материалов и индустриального домостроения                                                                                     </t>
  </si>
  <si>
    <t>внебюджет</t>
  </si>
  <si>
    <t>Расходы предприятий ЖКХ</t>
  </si>
  <si>
    <t>Програмка по ЖКХ</t>
  </si>
  <si>
    <t xml:space="preserve">Схема и развитие электроэнергетики Республики Алтай                                                </t>
  </si>
  <si>
    <t>Софинансирование объектов капитального строительства собственности МО</t>
  </si>
  <si>
    <t>Расходы М Р С К</t>
  </si>
  <si>
    <t xml:space="preserve">Энергосбережение и повышение энергетической эффективности      </t>
  </si>
  <si>
    <t>Приборы учета, в том числе РЦП "Приборы учета в МКД"</t>
  </si>
  <si>
    <t>Внебюджет</t>
  </si>
  <si>
    <t xml:space="preserve">Энергосбережение в сфере коммунальных услуг </t>
  </si>
  <si>
    <t>Энергосбережение (газификация транспорта)</t>
  </si>
  <si>
    <t>Энергосбережение в жилищном фонде</t>
  </si>
  <si>
    <t>Энергосбережение в соцсфере</t>
  </si>
  <si>
    <t>Капитальный ремонт М К Д</t>
  </si>
  <si>
    <t xml:space="preserve">Чистая вода                                                                          </t>
  </si>
  <si>
    <t>Всего:</t>
  </si>
  <si>
    <t>Фонд софинансирования</t>
  </si>
  <si>
    <t xml:space="preserve">Сейсмоустойчивость жилых домов, объектов и систем жизнеобеспечения                              </t>
  </si>
  <si>
    <t>Всего</t>
  </si>
  <si>
    <t>Софинансирование объектов собственности МО</t>
  </si>
  <si>
    <t xml:space="preserve">Пожарная безопасность                                                                 
</t>
  </si>
  <si>
    <t>Повышение результативности предоставления межбюджетных трансфертов муниципальным образованиям в Республике Алтай</t>
  </si>
  <si>
    <t>Сохранение  и развитие  автомобильных дорог</t>
  </si>
  <si>
    <t>Субсидии авиаперевозчикам</t>
  </si>
  <si>
    <t>Внедрение систем мониторинга на базе технологий ГЛОНАСС</t>
  </si>
  <si>
    <t>Льготная ипотека учителям</t>
  </si>
  <si>
    <t>Арендное жилье</t>
  </si>
  <si>
    <t>Оповещение</t>
  </si>
  <si>
    <t>Переселение граждан из аварийного жилищного фонда Республики Алтай</t>
  </si>
  <si>
    <t xml:space="preserve">Развитие систем электроэнергетики, в том числе малой гидроэнергетики Республики Алтай                                              </t>
  </si>
  <si>
    <t xml:space="preserve">Развитие информационно-коммуникационной инфраструктуры малочисленных сел Республики Алтай </t>
  </si>
  <si>
    <t>24</t>
  </si>
  <si>
    <t>25</t>
  </si>
  <si>
    <t>26</t>
  </si>
  <si>
    <t>27</t>
  </si>
  <si>
    <t>902</t>
  </si>
  <si>
    <t>28</t>
  </si>
  <si>
    <t>910</t>
  </si>
  <si>
    <t>092 34 00</t>
  </si>
  <si>
    <t>522 51 03</t>
  </si>
  <si>
    <t>Протяженность автомобильных дорог общего пользования регионального значения Республики Алтай, введенных в эксплуатацию после строительства и реконструкции</t>
  </si>
  <si>
    <t>км</t>
  </si>
  <si>
    <t xml:space="preserve">Мощность вводимых в эксплуатацию мостовых сооружений на автомобильных дорогах общего пользования регионального значении Республики Алтай </t>
  </si>
  <si>
    <t>тысяч погонных метров</t>
  </si>
  <si>
    <t>8.</t>
  </si>
  <si>
    <t>Количество единиц добровольно сданного незаконно хранящегося огнестрельного оружия, боеприпасов, взрывчатых веществ и взрывчатых устройств</t>
  </si>
  <si>
    <t>Доля муниципальных образований, принявших участие в конкурсе в общем количестве муниципальных образований</t>
  </si>
  <si>
    <t>Количество молодых семей, улучшивших жилищные условия с использованием средств республиканского бюджета Республики Алтай</t>
  </si>
  <si>
    <t>семей</t>
  </si>
  <si>
    <t>Количество реализованной электрической энергии населению в зонах децентрализованного электроснабжения на территории Республики Алтай</t>
  </si>
  <si>
    <t>тысяч кВт</t>
  </si>
  <si>
    <t>квадратных метров на 1 человека</t>
  </si>
  <si>
    <t>тысяч человек в год</t>
  </si>
  <si>
    <t>тысяч квадратных метров</t>
  </si>
  <si>
    <t>Количество молодых учителей общеобразовательных учреждений  приобрели жильё с помощью ипотечных жилищных кредитов при оказании содействия за счёт предоставления   субсидий из средств республиканского   бюджета Республики Алтай и   федерального бюджета</t>
  </si>
  <si>
    <t>Доля поднадзорной техники, представленной на государственный технический осмотр к общему количеству поднадзорной техники, состоящей на учете</t>
  </si>
  <si>
    <t>2.7.</t>
  </si>
  <si>
    <t>Профилактика экстримизма и терроризма на территории Республики Алтай</t>
  </si>
  <si>
    <t>2.8.</t>
  </si>
  <si>
    <t>на 1000 человек</t>
  </si>
  <si>
    <t>Улучшение жилищных условий  молодых семей</t>
  </si>
  <si>
    <t xml:space="preserve">1. количество молодых семей улучивших жилищные условия (в том числе с использованием заемных средств) при оказании содействия за счёт средств  республиканского бюджета Республики Алтай, семей;
  2. Доля молодых семей, улучивших жилищные условия при реализации программы (в процентах от общего количества молодых семей, нуждающихся в улучшении жилищных условий), процентов.
</t>
  </si>
  <si>
    <t xml:space="preserve">1. Количество жилых помещений (квартир) в расчете на 1 тыс. человек населения;                                                                                                             2. Обеспеченность жильем населения Республики Алтай, кв. метров на 1 человека;                                                                                                              </t>
  </si>
  <si>
    <t xml:space="preserve">1. Снижение коэффициента доступности жилья для населения Республики Алтай, лет;                                                                                                                      2.  Ввод арендного жилья предназначенного для целей коммерческого найма, кв. метров;                                                                                                 3. Увеличение площади земельных участков, предназначенных для жилищного строительства, включенных в перечни ведомственных программ, из земель, находящихся в государственной собственности, государственная собственность на которые не разграничена, в муниципальной собственности, а также предоставленных для жилищного строительства или находящихся в частной собственности, га;                                                4. Увеличение площади жилья, находящегося в стадиях разработки документации по планировке территории проектирования и строительства, кв. метров;                                                                  5. Увеличение доли земельных участков, предоставленных для жилищного строительства органами государственной власти субъекта РФ, органами местного самоуправления, или находящихся в частной собственности, обеспеченных инженерной инфраструктурой , %;                                                                                                                         </t>
  </si>
  <si>
    <t xml:space="preserve">1. Обеспеченность жильем населения Республики Алтай;                                                                                                          2. Удельный вес введенной общей площади жилых домов по отношению к общей площади жилищного фонда к предыдущему году;    
3. Снижение средней стоимости одного квадратного метра жилья на первичном рынке, с учетом индекса дефлятора на соответствующий год по виду экономической деятельности "строительство" (в процентах к уровню 2012 года) ;
4. Годовой объем ввода жилья, соответствующего стандартам экономического класса;                                                                    5.Площадь земельных участков, предоставленных для жилищного строительства и комплексного освоения в целях жилищного строительства в расчете на душу населения Республики Алтай;                                            6. Доля семей, желающих улучшить свои жилищные условия, обеспеченных доступным и комфортным жильем;
                                     </t>
  </si>
  <si>
    <t>Освоение земельных участков в целях жилищного строительства в Республике Алтай</t>
  </si>
  <si>
    <t xml:space="preserve">1. Площадь земельных участков, предоставленных для жилищного строительства и комплексного освоения в целях жилищного строительства, в расчете на душу населения Республики Алтай;                  2. Доля земельных участков, предоставленных и подлежащих предоставлению для жилищного строительства семьям, имеющим трех и более детей, обеспеченных инженерной инфраструктурой </t>
  </si>
  <si>
    <t>1. Количество жилых помещений (квартир) в расчете на 1 тыс. человек населения;                                                                                                             2. Обеспеченность жильем населения Республики Алтай, кв. метров на 1 человека;                                                                                                       3. Количество молодых учителей общеобразовательных учреждений  приобрели жильё с помощью ипотечных жилищных кредитов при оказании содействия за счёт предоставления субсидий из средств республиканского бюджета Республики Алтай и федерального бюджета, человек;</t>
  </si>
  <si>
    <t>1. Доля семей, желающих улучшить свои жилищные условия, обеспеченных доступным и комфортным жильем;                                               2. Превышение среднего уровня процентной ставки по ипотечному жилищному кредиту (в рублях) над индексом потребительских цен;                   3. Количество выдаваемых ипотечных жилищных кредитов в год;</t>
  </si>
  <si>
    <t xml:space="preserve">Развитие систем коммунальной инфраструктуры Республики Алтай                                                                                                                         </t>
  </si>
  <si>
    <t xml:space="preserve">1. Доля потерь тепловой энергии в суммарном объеме отпуска тепловой энергии, %;                                                                                                                          2. Доля организаций коммунального комплекса с долей участия в уставном капитале Республики Алтай и (или) муниципальных образований не более чем 25 процентов, осуществляющих производство товаров, оказание услуг по электро-, газо-, тепло-, водоснабжению, водоотведению, очистке сточных вод, а также эксплуатацию объектов для утилизации (захоронения) твердых бытовых отходов, использующих объекты коммунальной инфраструктуры на праве частной собственности, по договору аренды или концессионному соглашению, %;                                                                                       3. Удовлетворенность населения жилищно-коммунальными услугами, %;                 4. Уровень износа коммунальной инфраструктуры, %;                                 5. Доля муниципальных образований, принявших участие в конкурсе в общем количестве муниципальных образований;                                                  </t>
  </si>
  <si>
    <t xml:space="preserve">1. Количество реализованной электрической энергии населению в зонах децентрализованного электроснабжения на территории Республики Алтай;                                                                                                           2. Обеспеченность жильем населения Республики Алтай;                                     3. Удовлетворенность населения жилищно-коммунальными услугами, %;  </t>
  </si>
  <si>
    <t xml:space="preserve">1. Количество поднадзорной техники, состоящей на учете, ед.;
2. Количество проведенных проверок юридических лиц и частных предпринимателей, осуществляющих деятельность по перевозке пассажиров и багажа, ед.
</t>
  </si>
  <si>
    <t>1. Количество прошедших технический осмотр тракторов, самоходных машин и прицепов к ним, ед.;</t>
  </si>
  <si>
    <t xml:space="preserve">1. Количество подключенных предприятий жилищно-коммунального комплекса к Единой информационно-аналитической системы ФСТ России, ед. </t>
  </si>
  <si>
    <t xml:space="preserve">1. Удовлетворенность населения жилищно-коммунальными услугами, %; </t>
  </si>
  <si>
    <t>1.Количество погибших людей, чел.;                                          2. Численность населения, получившего травмы, чел.;                 3. Сокращение материального ущерба от пожаров по отношению к прошедщему году, %</t>
  </si>
  <si>
    <t>1.14.</t>
  </si>
  <si>
    <t>1. Доля общей площади капитально отремонтированных многоквартирных домов в общей площади многоквартирных домов, построенных до 2000 года;                                                                          2. Количество граждан,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</si>
  <si>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 xml:space="preserve">Обеспечение мероприятий по проведению капитального ремонта в Республике Алтай </t>
  </si>
  <si>
    <t>Переселение граждан из аварийного жилищного фонда в Республике Алтай</t>
  </si>
  <si>
    <t>1. Доля населения, проживающего в многоквартирных домах, признанных в установленном порядке аварийными, %;                                                               2. Доля площади ликвидированного аварийного жилищного фонда в текущем году от общей площади аварийного жилищного фонда установленного по состоянию на 01.01.2012 года, %;</t>
  </si>
  <si>
    <t>1.15.</t>
  </si>
  <si>
    <t>1.16.</t>
  </si>
  <si>
    <t>1.17.</t>
  </si>
  <si>
    <t>1.18.</t>
  </si>
  <si>
    <t>1.19.</t>
  </si>
  <si>
    <t xml:space="preserve">Сохранение и развитие автомобильных дорог Республики Алтай </t>
  </si>
  <si>
    <t xml:space="preserve">1. 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 (процентов);                                                           2.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(процентов); Количество авиарейсов, выполняющихся через аэропорт Горно-Алтайск (единиц).                                                                          3. Протяженность автомобильных дорог общего пользования регионального значения Республики Алтай, введенных в эксплуатацию после строительства и реконструкции, км;                                                   4. Мощность вводимых в эксплуатацию мостовых сооружений на автомобильных дорогах общего пользования регионального значении Республики Алтай, тыс. пог. метров;                                                                                    
                                                          </t>
  </si>
  <si>
    <t>Развитие воздушного транспорта в Республике Алтай</t>
  </si>
  <si>
    <t xml:space="preserve">1. Количество пассажиров, перевезенных через Аэропорт Горно-Алтайск, тыс. человек в год;             </t>
  </si>
  <si>
    <t xml:space="preserve">1. Удельный вес объектов дорожного хозяйства, по которым проводится строительный контроль в финансовом году, в их общем числе, %;                                                                           2. Количество выданных специальных разрешений на перевозку тяжеловесных грузов в период временного ограничения движения транспортных средств по автомобильным дорогам общего пользования регионального значения Республики Алтай, ед.;
3. Количество выданных согласований на размещение объектов дорожного сервиса и иных сооружений, в границах полос отвода автомобильных дорог общего пользования регионального значения Республики Алтай, ед.;
</t>
  </si>
  <si>
    <t>1. Доля детей, принявших участие  в мероприятиях направленных на повышение безопасности жизни детей, от общего количества детей, обучающихся в образовательных учреждениях Республики Алтай, %;                                                 2. Количество дорожно-транспортных  происшествий с участием детей, единиц;
3. Доля образовательных учреждений, соответствующих  требованиям безопасности жизни, от общего образовательных учреждений Республики Алтай,%;
4. Доля детей в трудной жизненной ситуации, охваченных  услугами дополнительного образования, от общего количества детей, охваченных услугами дополнительного образования, %;</t>
  </si>
  <si>
    <t>1. Количество лиц, пострадавших в результате дорожно-транспортных происшествий, человек;</t>
  </si>
  <si>
    <t xml:space="preserve">1. Повышение доступности жилья для граждан;
2. Увеличение объемов строительства жилья;
3. Увеличение доли семей, имеющих возможность приобрести жилье, соответствующее стандартам обеспечения жилыми помещениями, с помощью собственных и заемных средств.
</t>
  </si>
  <si>
    <t xml:space="preserve">1. Доля финансовой обеспеченности деятельности регионального оператора по капитальному ремонту, %;               2. Доля материально-технической обеспеченности деятельности, %;                                                                          3. Доля работников, повысивших квалификацию, от общего числа работников, %; </t>
  </si>
  <si>
    <t xml:space="preserve">1. Количество домов, жители которых переселены,  шт.;
2. Общая площадь жилых помещений к расселению, кв. м;
3. Количество жилых помещений к расселению,  шт.;
4. Количество жителей, улучшивших условия проживания, человек, 
</t>
  </si>
  <si>
    <t xml:space="preserve">1.20. </t>
  </si>
  <si>
    <t>Создание системы обеспечения вызова экстренных оперативных служб на территории Республики Алтай по единому номеру "112"</t>
  </si>
  <si>
    <t>1. Количество муниципальных районов и городских округов, в которых создана Система 112.</t>
  </si>
  <si>
    <t xml:space="preserve">1. Сокращение времени реагирования экстренных оперативных служб на обращение граждан при происшествиях и чрезвычайных ситуациях;                                                            2. Сокращение числа погибших от происшествий и чрезвычайных ситуаций на территории Республики Алтай;            3. Сокращение числа травмированных от происшествий и чрезвычайных ситуаций на территории Республики Алтай;      4. Сокращение экономического ущерба от происшествий и чрезвычайных ситуаций;                                                               5. Доля населения, охваченного Системой -112; </t>
  </si>
  <si>
    <t>1. Количество погибших и пострадавших в чрезвычайных ситуациях и на воде, чел.;                                                             2. Уровень информирования населения о фактах и угрозах чрезвычайных ситуаций и происшествий, а так же правила поведения в складывающихся ситуациях, %;                               3. Численность населения, обученнего по вопросам реагирования в случае угрозы или возникновения чрезвычайных ситуаций, при пожарах, чел.;                                    4. Снижение ущерба от чрезвычайных ситуаций по отношению к показателям 2009 года, в том числе: снижение количества гибели людей, снижение количества пострадавшего населения, %;                                                                                                 5. Повышение уровня запасов материально-технических, продовольственных, медицинских и иных средств (мобилизационный резерв) по отношению к показателю прошедшего года, %;</t>
  </si>
  <si>
    <t xml:space="preserve">6. Оснащенность ПСО Республики Алтай личным снаряжением и имуществом для проведения аварийно-спасательных работ, %. </t>
  </si>
  <si>
    <t xml:space="preserve">1. Количество регулярных авиарейсов в Аэропорту "Горно-Алтайск", единиц;                                                                                           2. Количество самолетовылетов из Аэропорта г. Горно-Алтайск, единиц; 3. Процент загрузки кругового рейса от общего количества мест за год по субсидируемому маршруту, %;                                                      4. Количество реконструируемых аэропортов, в том числе выполнение работ по проектно-сметной документации, единиц           </t>
  </si>
  <si>
    <t>1. Доля земельных  участков, предоставленных для жилищного строительства, органами государственной власти субъекта, органами местного самоуправления, или находящегося в частной собственности, обеспеченных инженерной инфраструктурой , %;                                                                                      2. Площадь земельных участков, предназначенных, предназначенных для жилищного строительства, включенных в перечни ведомственных программ, из земель, находящихся в государственной собственности, государственная собственность на которые не разграничена, в муниципальной собственности, а также предоставленных для жилищного строительства или находящихся в частной собственности, га%;                                                                                                 3. Коэффициент доступности жилья для населения, лет .</t>
  </si>
  <si>
    <t xml:space="preserve">1. Увеличение протяженности автомобильных дорог общего пользования регионального значения Республики Алтай введенных в эксплуатацию после строительства. реконструкции, км;                                                                                         2. Увеличение мощности вводимых в эксплуатацию после строительства мостовых сооружений на автомобильных дорогах общего пользования регионального значения Республики Алтай, пог. метров;                                                                                        </t>
  </si>
  <si>
    <t>Развитие ипотечного жилищного кредитования в Республике Алтай</t>
  </si>
  <si>
    <t xml:space="preserve">Энергосбережение и повышение энергетической эффективности в коммунальном хозяйстве, жилищной сфере и социальной сфере Республики Алтай </t>
  </si>
  <si>
    <t>1. Доля оповещаемого и информируемого населения Республики Алтай с помощью РАСЦО от общего количе-ства оповещаемого населения Республики Алтай, %;                               2. Сокращение времени оповещения и информирования населения Республики Алтай о возникновении чрезвычайной ситуации, %.</t>
  </si>
  <si>
    <t xml:space="preserve">Увеличение доли оповещаемого и информируемого населения Республики Алтай с помощью РАСЦО и КСЭОН от общего количества оповещаемого населения Республики Алтай </t>
  </si>
  <si>
    <t>Увеличение доли оповещаемого и информируемого населения Республики Алтай с помощью РАСЦО и КСЭОН от общего количества оповещаемого населения Республики Алтай, %;</t>
  </si>
  <si>
    <t>Профилактика экстремизма и терроризма на территории Республики Алтай</t>
  </si>
  <si>
    <t>Зарегистрировано преступлений террористического и экстремистского характера на 1000 жителей Республики Алтай;</t>
  </si>
  <si>
    <t>1. Доля проверенных объектов с массовым пребыванием людей, %;                                                                                                   2. Увеличение количества размещенных тематических материалов на телевидении, в средствах массовой информации, количество раз;</t>
  </si>
  <si>
    <t>1.1.1.</t>
  </si>
  <si>
    <t>Количество муниципальных районов и городских округов, в которых создана Система 112</t>
  </si>
  <si>
    <t>1.14.1.</t>
  </si>
  <si>
    <t>1.14.2.</t>
  </si>
  <si>
    <t>1.14.3.</t>
  </si>
  <si>
    <t>1.14.4.</t>
  </si>
  <si>
    <t>1.20.</t>
  </si>
  <si>
    <t>Зарегистрировано преступлений террористического и экстримисткого характера на территории Республики Алтай</t>
  </si>
  <si>
    <t>Увеличение срока эксплуатации многоквартирного жилищного фонда на территории Республики Алтай путем проведения капитального ремонта общего имущества жилых и нежилых помещений, %;</t>
  </si>
  <si>
    <t>Государственная программа "Развитие жилищно-коммунального и транспортного комплекса"</t>
  </si>
  <si>
    <t>Улучшение жилищных условий молодых семей</t>
  </si>
  <si>
    <t xml:space="preserve">Развитие систем коммунальной инфраструктуры Республики Алтай                                                                                                                      </t>
  </si>
  <si>
    <t>Обеспечение мероприятий по проведению капитального ремонта в Республике Алтай</t>
  </si>
  <si>
    <t>Министерство экономического  развития и инвестиций Республики Алтай</t>
  </si>
  <si>
    <t>322</t>
  </si>
  <si>
    <t>02125А1</t>
  </si>
  <si>
    <t>021Ж5А0</t>
  </si>
  <si>
    <t>021В501</t>
  </si>
  <si>
    <t>021В503</t>
  </si>
  <si>
    <t>021В502</t>
  </si>
  <si>
    <t>0226000</t>
  </si>
  <si>
    <t>909</t>
  </si>
  <si>
    <t>0227001</t>
  </si>
  <si>
    <t>021И000</t>
  </si>
  <si>
    <t>Проведение мероприятий, связанных с информированием населения об угрозе возникновения и о возникновении чрезвычайных ситуаций в Республике Алтай</t>
  </si>
  <si>
    <t>Повышение эффективности управления в сфере дорожного хозяйства</t>
  </si>
  <si>
    <t xml:space="preserve">Внедрение систем мониторинга на базе технологий ГЛОНАСС на территории Республики Алтай </t>
  </si>
  <si>
    <t>Внедрение систем мониторинга на базе технологий ГЛОНАСС на территории Республики Алтай</t>
  </si>
  <si>
    <t>Обеспечение мероприятий, направленных на профилактику правонарушений и повышения безопасности дорожного движения в общеобразовательных учреждениях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</si>
</sst>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0.0"/>
    <numFmt numFmtId="170" formatCode="_-* #,##0.0_р_._-;\-* #,##0.0_р_._-;_-* &quot;-&quot;?_р_._-;_-@_-"/>
    <numFmt numFmtId="171" formatCode="#,##0.0_ ;\-#,##0.0\ "/>
    <numFmt numFmtId="172" formatCode="#,##0.00_ ;\-#,##0.00\ "/>
    <numFmt numFmtId="173" formatCode="#,##0.0"/>
  </numFmts>
  <fonts count="68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1F497D"/>
      <name val="Times New Roman"/>
      <family val="1"/>
    </font>
    <font>
      <sz val="14"/>
      <color rgb="FF1F497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4F8B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3" fontId="9" fillId="0" borderId="10" xfId="60" applyFont="1" applyFill="1" applyBorder="1" applyAlignment="1">
      <alignment horizontal="center" vertical="center"/>
    </xf>
    <xf numFmtId="43" fontId="1" fillId="0" borderId="0" xfId="0" applyNumberFormat="1" applyFont="1" applyFill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3" fontId="9" fillId="0" borderId="10" xfId="60" applyFont="1" applyBorder="1" applyAlignment="1">
      <alignment/>
    </xf>
    <xf numFmtId="43" fontId="9" fillId="0" borderId="10" xfId="60" applyFont="1" applyBorder="1" applyAlignment="1">
      <alignment horizontal="center"/>
    </xf>
    <xf numFmtId="43" fontId="9" fillId="0" borderId="12" xfId="60" applyFont="1" applyBorder="1" applyAlignment="1">
      <alignment/>
    </xf>
    <xf numFmtId="43" fontId="9" fillId="0" borderId="11" xfId="60" applyFont="1" applyBorder="1" applyAlignment="1">
      <alignment/>
    </xf>
    <xf numFmtId="168" fontId="9" fillId="0" borderId="10" xfId="60" applyNumberFormat="1" applyFont="1" applyFill="1" applyBorder="1" applyAlignment="1">
      <alignment horizontal="center" vertical="center"/>
    </xf>
    <xf numFmtId="168" fontId="9" fillId="0" borderId="10" xfId="60" applyNumberFormat="1" applyFont="1" applyBorder="1" applyAlignment="1">
      <alignment/>
    </xf>
    <xf numFmtId="168" fontId="9" fillId="0" borderId="10" xfId="60" applyNumberFormat="1" applyFont="1" applyBorder="1" applyAlignment="1">
      <alignment horizontal="center"/>
    </xf>
    <xf numFmtId="168" fontId="9" fillId="0" borderId="12" xfId="60" applyNumberFormat="1" applyFont="1" applyBorder="1" applyAlignment="1">
      <alignment/>
    </xf>
    <xf numFmtId="168" fontId="9" fillId="0" borderId="11" xfId="60" applyNumberFormat="1" applyFont="1" applyBorder="1" applyAlignment="1">
      <alignment/>
    </xf>
    <xf numFmtId="168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43" fontId="1" fillId="0" borderId="0" xfId="60" applyFont="1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1" fillId="17" borderId="0" xfId="0" applyFont="1" applyFill="1" applyAlignment="1">
      <alignment horizontal="center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vertical="center" wrapText="1"/>
    </xf>
    <xf numFmtId="0" fontId="9" fillId="17" borderId="0" xfId="0" applyFont="1" applyFill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9" fillId="32" borderId="0" xfId="0" applyFont="1" applyFill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center" wrapText="1"/>
    </xf>
    <xf numFmtId="0" fontId="9" fillId="32" borderId="0" xfId="0" applyFont="1" applyFill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43" fontId="9" fillId="0" borderId="10" xfId="6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8" fontId="9" fillId="0" borderId="11" xfId="6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/>
    </xf>
    <xf numFmtId="43" fontId="9" fillId="0" borderId="11" xfId="60" applyFont="1" applyFill="1" applyBorder="1" applyAlignment="1">
      <alignment horizontal="center" vertical="center"/>
    </xf>
    <xf numFmtId="168" fontId="9" fillId="0" borderId="10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0" fontId="1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/>
    </xf>
    <xf numFmtId="43" fontId="62" fillId="0" borderId="10" xfId="6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43" fontId="9" fillId="0" borderId="0" xfId="60" applyFont="1" applyFill="1" applyAlignment="1">
      <alignment/>
    </xf>
    <xf numFmtId="0" fontId="1" fillId="0" borderId="11" xfId="0" applyFont="1" applyFill="1" applyBorder="1" applyAlignment="1">
      <alignment horizontal="center"/>
    </xf>
    <xf numFmtId="43" fontId="9" fillId="0" borderId="11" xfId="60" applyFont="1" applyFill="1" applyBorder="1" applyAlignment="1">
      <alignment horizontal="center"/>
    </xf>
    <xf numFmtId="168" fontId="9" fillId="0" borderId="11" xfId="60" applyNumberFormat="1" applyFont="1" applyFill="1" applyBorder="1" applyAlignment="1">
      <alignment horizontal="center"/>
    </xf>
    <xf numFmtId="170" fontId="9" fillId="0" borderId="10" xfId="6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3" fontId="4" fillId="4" borderId="10" xfId="0" applyNumberFormat="1" applyFont="1" applyFill="1" applyBorder="1" applyAlignment="1">
      <alignment horizontal="center" vertical="center" wrapText="1"/>
    </xf>
    <xf numFmtId="168" fontId="4" fillId="4" borderId="10" xfId="0" applyNumberFormat="1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9" fillId="35" borderId="10" xfId="60" applyFont="1" applyFill="1" applyBorder="1" applyAlignment="1">
      <alignment horizontal="center" vertical="center"/>
    </xf>
    <xf numFmtId="43" fontId="9" fillId="35" borderId="10" xfId="60" applyFont="1" applyFill="1" applyBorder="1" applyAlignment="1">
      <alignment horizontal="center"/>
    </xf>
    <xf numFmtId="43" fontId="9" fillId="4" borderId="10" xfId="60" applyFont="1" applyFill="1" applyBorder="1" applyAlignment="1">
      <alignment horizontal="center"/>
    </xf>
    <xf numFmtId="168" fontId="9" fillId="4" borderId="10" xfId="60" applyNumberFormat="1" applyFont="1" applyFill="1" applyBorder="1" applyAlignment="1">
      <alignment horizontal="center"/>
    </xf>
    <xf numFmtId="43" fontId="9" fillId="0" borderId="0" xfId="6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43" fontId="9" fillId="4" borderId="11" xfId="60" applyFont="1" applyFill="1" applyBorder="1" applyAlignment="1">
      <alignment horizontal="center"/>
    </xf>
    <xf numFmtId="168" fontId="9" fillId="4" borderId="11" xfId="6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/>
    </xf>
    <xf numFmtId="43" fontId="9" fillId="36" borderId="10" xfId="60" applyFont="1" applyFill="1" applyBorder="1" applyAlignment="1">
      <alignment horizontal="center" vertical="center"/>
    </xf>
    <xf numFmtId="168" fontId="9" fillId="36" borderId="10" xfId="6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49" fontId="13" fillId="36" borderId="11" xfId="0" applyNumberFormat="1" applyFont="1" applyFill="1" applyBorder="1" applyAlignment="1">
      <alignment horizontal="center"/>
    </xf>
    <xf numFmtId="43" fontId="9" fillId="36" borderId="11" xfId="60" applyFont="1" applyFill="1" applyBorder="1" applyAlignment="1">
      <alignment horizontal="center" vertical="center"/>
    </xf>
    <xf numFmtId="168" fontId="9" fillId="36" borderId="11" xfId="60" applyNumberFormat="1" applyFont="1" applyFill="1" applyBorder="1" applyAlignment="1">
      <alignment horizontal="center" vertical="center"/>
    </xf>
    <xf numFmtId="43" fontId="9" fillId="4" borderId="11" xfId="60" applyFont="1" applyFill="1" applyBorder="1" applyAlignment="1">
      <alignment horizontal="center" vertical="center"/>
    </xf>
    <xf numFmtId="168" fontId="9" fillId="4" borderId="11" xfId="6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43" fontId="9" fillId="4" borderId="10" xfId="60" applyFont="1" applyFill="1" applyBorder="1" applyAlignment="1">
      <alignment horizontal="center" vertical="center"/>
    </xf>
    <xf numFmtId="168" fontId="9" fillId="4" borderId="10" xfId="6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/>
    </xf>
    <xf numFmtId="43" fontId="8" fillId="4" borderId="10" xfId="60" applyFont="1" applyFill="1" applyBorder="1" applyAlignment="1">
      <alignment horizontal="center" vertical="center"/>
    </xf>
    <xf numFmtId="168" fontId="8" fillId="4" borderId="10" xfId="6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/>
    </xf>
    <xf numFmtId="49" fontId="13" fillId="37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1" fillId="38" borderId="13" xfId="0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3" fontId="7" fillId="4" borderId="10" xfId="60" applyFont="1" applyFill="1" applyBorder="1" applyAlignment="1">
      <alignment horizontal="center" vertical="center"/>
    </xf>
    <xf numFmtId="168" fontId="7" fillId="4" borderId="10" xfId="6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49" fontId="13" fillId="37" borderId="1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1" fillId="37" borderId="19" xfId="0" applyFont="1" applyFill="1" applyBorder="1" applyAlignment="1">
      <alignment horizontal="center" vertical="center" wrapText="1"/>
    </xf>
    <xf numFmtId="49" fontId="13" fillId="37" borderId="19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171" fontId="9" fillId="4" borderId="10" xfId="60" applyNumberFormat="1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8" fontId="17" fillId="4" borderId="10" xfId="6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168" fontId="9" fillId="40" borderId="10" xfId="60" applyNumberFormat="1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 horizontal="center" vertical="center" wrapText="1"/>
    </xf>
    <xf numFmtId="43" fontId="64" fillId="0" borderId="10" xfId="6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41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 vertical="center" wrapText="1"/>
    </xf>
    <xf numFmtId="168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43" fontId="9" fillId="0" borderId="10" xfId="60" applyFont="1" applyFill="1" applyBorder="1" applyAlignment="1">
      <alignment/>
    </xf>
    <xf numFmtId="168" fontId="9" fillId="0" borderId="10" xfId="60" applyNumberFormat="1" applyFont="1" applyFill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10" zoomScaleNormal="110" zoomScalePageLayoutView="0" workbookViewId="0" topLeftCell="A4">
      <pane ySplit="7" topLeftCell="A11" activePane="bottomLeft" state="frozen"/>
      <selection pane="topLeft" activeCell="A4" sqref="A4"/>
      <selection pane="bottomLeft" activeCell="B69" sqref="B69"/>
    </sheetView>
  </sheetViews>
  <sheetFormatPr defaultColWidth="9.00390625" defaultRowHeight="12.75"/>
  <cols>
    <col min="1" max="1" width="6.375" style="4" customWidth="1"/>
    <col min="2" max="2" width="32.375" style="86" customWidth="1"/>
    <col min="3" max="3" width="12.125" style="5" customWidth="1"/>
    <col min="4" max="4" width="10.25390625" style="4" customWidth="1"/>
    <col min="5" max="12" width="9.125" style="4" customWidth="1"/>
    <col min="13" max="13" width="10.375" style="4" customWidth="1"/>
    <col min="14" max="16384" width="9.125" style="4" customWidth="1"/>
  </cols>
  <sheetData>
    <row r="1" ht="12.75">
      <c r="M1" s="7" t="s">
        <v>257</v>
      </c>
    </row>
    <row r="2" ht="12.75">
      <c r="M2" s="7" t="s">
        <v>49</v>
      </c>
    </row>
    <row r="3" ht="12.75">
      <c r="M3" s="7" t="s">
        <v>50</v>
      </c>
    </row>
    <row r="4" ht="12.75">
      <c r="M4" s="7" t="s">
        <v>51</v>
      </c>
    </row>
    <row r="6" ht="14.25">
      <c r="E6" s="56" t="s">
        <v>258</v>
      </c>
    </row>
    <row r="8" spans="1:13" ht="16.5" customHeight="1">
      <c r="A8" s="276" t="s">
        <v>10</v>
      </c>
      <c r="B8" s="278" t="s">
        <v>259</v>
      </c>
      <c r="C8" s="276" t="s">
        <v>260</v>
      </c>
      <c r="D8" s="276" t="s">
        <v>261</v>
      </c>
      <c r="E8" s="277"/>
      <c r="F8" s="277"/>
      <c r="G8" s="277"/>
      <c r="H8" s="277"/>
      <c r="I8" s="277"/>
      <c r="J8" s="277"/>
      <c r="K8" s="277"/>
      <c r="L8" s="277"/>
      <c r="M8" s="277"/>
    </row>
    <row r="9" spans="1:13" ht="15">
      <c r="A9" s="277"/>
      <c r="B9" s="279"/>
      <c r="C9" s="277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3" t="s">
        <v>20</v>
      </c>
    </row>
    <row r="10" spans="1:13" ht="15">
      <c r="A10" s="277"/>
      <c r="B10" s="280"/>
      <c r="C10" s="277"/>
      <c r="D10" s="3" t="s">
        <v>21</v>
      </c>
      <c r="E10" s="3" t="s">
        <v>22</v>
      </c>
      <c r="F10" s="3" t="s">
        <v>23</v>
      </c>
      <c r="G10" s="3" t="s">
        <v>23</v>
      </c>
      <c r="H10" s="3" t="s">
        <v>23</v>
      </c>
      <c r="I10" s="3" t="s">
        <v>23</v>
      </c>
      <c r="J10" s="3" t="s">
        <v>23</v>
      </c>
      <c r="K10" s="3" t="s">
        <v>23</v>
      </c>
      <c r="L10" s="3" t="s">
        <v>23</v>
      </c>
      <c r="M10" s="3" t="s">
        <v>23</v>
      </c>
    </row>
    <row r="11" spans="1:13" ht="12.75">
      <c r="A11" s="281" t="s">
        <v>586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</row>
    <row r="12" spans="1:13" ht="38.25">
      <c r="A12" s="2" t="s">
        <v>25</v>
      </c>
      <c r="B12" s="235" t="s">
        <v>262</v>
      </c>
      <c r="C12" s="62" t="s">
        <v>514</v>
      </c>
      <c r="D12" s="8">
        <v>18.7</v>
      </c>
      <c r="E12" s="8">
        <v>18.9</v>
      </c>
      <c r="F12" s="8">
        <v>19.1</v>
      </c>
      <c r="G12" s="8">
        <v>19.3</v>
      </c>
      <c r="H12" s="8">
        <v>19.5</v>
      </c>
      <c r="I12" s="8">
        <v>19.7</v>
      </c>
      <c r="J12" s="8">
        <v>19.9</v>
      </c>
      <c r="K12" s="8">
        <v>20.1</v>
      </c>
      <c r="L12" s="8">
        <v>20.3</v>
      </c>
      <c r="M12" s="8">
        <v>20.5</v>
      </c>
    </row>
    <row r="13" spans="1:13" ht="50.25" customHeight="1">
      <c r="A13" s="2" t="s">
        <v>26</v>
      </c>
      <c r="B13" s="264" t="s">
        <v>347</v>
      </c>
      <c r="C13" s="8" t="s">
        <v>263</v>
      </c>
      <c r="D13" s="251">
        <v>2</v>
      </c>
      <c r="E13" s="251">
        <v>2</v>
      </c>
      <c r="F13" s="251">
        <v>2</v>
      </c>
      <c r="G13" s="251">
        <v>2</v>
      </c>
      <c r="H13" s="251">
        <v>2</v>
      </c>
      <c r="I13" s="251">
        <v>2</v>
      </c>
      <c r="J13" s="251">
        <v>2</v>
      </c>
      <c r="K13" s="251">
        <v>2</v>
      </c>
      <c r="L13" s="251">
        <v>2</v>
      </c>
      <c r="M13" s="251">
        <v>2</v>
      </c>
    </row>
    <row r="14" spans="1:13" ht="27.75" customHeight="1">
      <c r="A14" s="2" t="s">
        <v>27</v>
      </c>
      <c r="B14" s="235" t="s">
        <v>264</v>
      </c>
      <c r="C14" s="8" t="s">
        <v>263</v>
      </c>
      <c r="D14" s="8">
        <v>38.2</v>
      </c>
      <c r="E14" s="8">
        <v>38</v>
      </c>
      <c r="F14" s="8">
        <v>37.8</v>
      </c>
      <c r="G14" s="8">
        <v>37.5</v>
      </c>
      <c r="H14" s="8">
        <v>37.4</v>
      </c>
      <c r="I14" s="8">
        <v>37.2</v>
      </c>
      <c r="J14" s="8">
        <v>36.9</v>
      </c>
      <c r="K14" s="8">
        <v>36.6</v>
      </c>
      <c r="L14" s="8">
        <v>36.2</v>
      </c>
      <c r="M14" s="8">
        <v>35.5</v>
      </c>
    </row>
    <row r="15" spans="1:13" ht="89.25" customHeight="1">
      <c r="A15" s="2" t="s">
        <v>29</v>
      </c>
      <c r="B15" s="235" t="s">
        <v>266</v>
      </c>
      <c r="C15" s="8" t="s">
        <v>263</v>
      </c>
      <c r="D15" s="8">
        <v>83.6</v>
      </c>
      <c r="E15" s="8">
        <v>83.3</v>
      </c>
      <c r="F15" s="8">
        <v>80.5</v>
      </c>
      <c r="G15" s="8">
        <v>80.3</v>
      </c>
      <c r="H15" s="8">
        <v>80.2</v>
      </c>
      <c r="I15" s="8">
        <v>80.1</v>
      </c>
      <c r="J15" s="8">
        <v>80</v>
      </c>
      <c r="K15" s="8">
        <v>79.9</v>
      </c>
      <c r="L15" s="8">
        <v>78</v>
      </c>
      <c r="M15" s="8">
        <v>76</v>
      </c>
    </row>
    <row r="16" spans="1:13" ht="89.25">
      <c r="A16" s="2" t="s">
        <v>265</v>
      </c>
      <c r="B16" s="82" t="s">
        <v>268</v>
      </c>
      <c r="C16" s="8" t="s">
        <v>263</v>
      </c>
      <c r="D16" s="8">
        <v>57.4</v>
      </c>
      <c r="E16" s="8">
        <v>50</v>
      </c>
      <c r="F16" s="8">
        <v>47</v>
      </c>
      <c r="G16" s="8">
        <v>45</v>
      </c>
      <c r="H16" s="8">
        <v>43</v>
      </c>
      <c r="I16" s="8">
        <v>42</v>
      </c>
      <c r="J16" s="8">
        <v>41</v>
      </c>
      <c r="K16" s="8">
        <v>40</v>
      </c>
      <c r="L16" s="8">
        <v>38</v>
      </c>
      <c r="M16" s="8">
        <v>35</v>
      </c>
    </row>
    <row r="17" spans="1:13" ht="27" customHeight="1">
      <c r="A17" s="2" t="s">
        <v>267</v>
      </c>
      <c r="B17" s="235" t="s">
        <v>270</v>
      </c>
      <c r="C17" s="62" t="s">
        <v>515</v>
      </c>
      <c r="D17" s="8">
        <v>1.675</v>
      </c>
      <c r="E17" s="8">
        <v>16.2</v>
      </c>
      <c r="F17" s="8">
        <v>29</v>
      </c>
      <c r="G17" s="8">
        <v>31</v>
      </c>
      <c r="H17" s="8">
        <v>32</v>
      </c>
      <c r="I17" s="8">
        <v>35</v>
      </c>
      <c r="J17" s="8">
        <v>37</v>
      </c>
      <c r="K17" s="8">
        <v>40</v>
      </c>
      <c r="L17" s="8">
        <v>43</v>
      </c>
      <c r="M17" s="8">
        <v>45</v>
      </c>
    </row>
    <row r="18" spans="1:13" ht="97.5" customHeight="1">
      <c r="A18" s="71" t="s">
        <v>269</v>
      </c>
      <c r="B18" s="82" t="s">
        <v>353</v>
      </c>
      <c r="C18" s="54" t="s">
        <v>263</v>
      </c>
      <c r="D18" s="234">
        <v>0.5</v>
      </c>
      <c r="E18" s="234">
        <v>0.5</v>
      </c>
      <c r="F18" s="234">
        <v>1</v>
      </c>
      <c r="G18" s="234">
        <v>2</v>
      </c>
      <c r="H18" s="234">
        <v>6.5</v>
      </c>
      <c r="I18" s="234">
        <v>10</v>
      </c>
      <c r="J18" s="234">
        <v>20</v>
      </c>
      <c r="K18" s="234">
        <v>20</v>
      </c>
      <c r="L18" s="234">
        <v>20</v>
      </c>
      <c r="M18" s="234">
        <v>20</v>
      </c>
    </row>
    <row r="19" spans="1:13" ht="40.5" customHeight="1">
      <c r="A19" s="72" t="s">
        <v>507</v>
      </c>
      <c r="B19" s="82" t="s">
        <v>351</v>
      </c>
      <c r="C19" s="78" t="s">
        <v>516</v>
      </c>
      <c r="D19" s="54">
        <v>24</v>
      </c>
      <c r="E19" s="54">
        <v>29</v>
      </c>
      <c r="F19" s="54">
        <v>85</v>
      </c>
      <c r="G19" s="54">
        <v>90</v>
      </c>
      <c r="H19" s="54">
        <v>105</v>
      </c>
      <c r="I19" s="54">
        <v>115</v>
      </c>
      <c r="J19" s="54">
        <v>125</v>
      </c>
      <c r="K19" s="54">
        <v>130</v>
      </c>
      <c r="L19" s="54">
        <v>135</v>
      </c>
      <c r="M19" s="54">
        <v>140</v>
      </c>
    </row>
    <row r="20" spans="1:13" ht="12" customHeight="1">
      <c r="A20" s="273" t="s">
        <v>42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5"/>
    </row>
    <row r="21" spans="1:13" ht="12.75" hidden="1">
      <c r="A21" s="107"/>
      <c r="B21" s="108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1"/>
    </row>
    <row r="22" spans="1:13" ht="63.75" hidden="1">
      <c r="A22" s="2" t="s">
        <v>30</v>
      </c>
      <c r="B22" s="79" t="s">
        <v>510</v>
      </c>
      <c r="C22" s="1" t="s">
        <v>511</v>
      </c>
      <c r="D22" s="2"/>
      <c r="E22" s="2"/>
      <c r="F22" s="2"/>
      <c r="G22" s="2">
        <v>22</v>
      </c>
      <c r="H22" s="2">
        <v>22</v>
      </c>
      <c r="I22" s="2">
        <v>22</v>
      </c>
      <c r="J22" s="2">
        <v>22</v>
      </c>
      <c r="K22" s="2">
        <v>22</v>
      </c>
      <c r="L22" s="2">
        <v>22</v>
      </c>
      <c r="M22" s="2">
        <v>22</v>
      </c>
    </row>
    <row r="23" spans="1:13" ht="76.5">
      <c r="A23" s="2" t="s">
        <v>30</v>
      </c>
      <c r="B23" s="82" t="s">
        <v>271</v>
      </c>
      <c r="C23" s="62" t="s">
        <v>272</v>
      </c>
      <c r="D23" s="8">
        <v>9.9</v>
      </c>
      <c r="E23" s="8">
        <v>10</v>
      </c>
      <c r="F23" s="8">
        <v>10</v>
      </c>
      <c r="G23" s="8">
        <v>10</v>
      </c>
      <c r="H23" s="8">
        <v>10.5</v>
      </c>
      <c r="I23" s="8">
        <v>11</v>
      </c>
      <c r="J23" s="8">
        <v>11.5</v>
      </c>
      <c r="K23" s="8">
        <v>12</v>
      </c>
      <c r="L23" s="8">
        <v>12.5</v>
      </c>
      <c r="M23" s="8">
        <v>13</v>
      </c>
    </row>
    <row r="24" spans="1:13" ht="81.75" customHeight="1">
      <c r="A24" s="2" t="s">
        <v>31</v>
      </c>
      <c r="B24" s="82" t="s">
        <v>342</v>
      </c>
      <c r="C24" s="54" t="s">
        <v>263</v>
      </c>
      <c r="D24" s="253"/>
      <c r="E24" s="253"/>
      <c r="F24" s="253">
        <v>1.5</v>
      </c>
      <c r="G24" s="254">
        <v>9.6</v>
      </c>
      <c r="H24" s="254">
        <v>8.5</v>
      </c>
      <c r="I24" s="254">
        <v>7.6</v>
      </c>
      <c r="J24" s="254">
        <v>3.5</v>
      </c>
      <c r="K24" s="253">
        <v>4</v>
      </c>
      <c r="L24" s="253">
        <v>4.5</v>
      </c>
      <c r="M24" s="253">
        <v>5</v>
      </c>
    </row>
    <row r="25" spans="1:13" ht="51" customHeight="1">
      <c r="A25" s="2" t="s">
        <v>32</v>
      </c>
      <c r="B25" s="82" t="s">
        <v>509</v>
      </c>
      <c r="C25" s="54" t="s">
        <v>263</v>
      </c>
      <c r="D25" s="8"/>
      <c r="E25" s="54"/>
      <c r="F25" s="54">
        <v>4</v>
      </c>
      <c r="G25" s="54">
        <v>5</v>
      </c>
      <c r="H25" s="54">
        <v>7</v>
      </c>
      <c r="I25" s="54">
        <v>10</v>
      </c>
      <c r="J25" s="8">
        <v>15</v>
      </c>
      <c r="K25" s="8">
        <v>20</v>
      </c>
      <c r="L25" s="8">
        <v>30</v>
      </c>
      <c r="M25" s="8">
        <v>40</v>
      </c>
    </row>
    <row r="26" spans="1:13" ht="118.5" customHeight="1">
      <c r="A26" s="2" t="s">
        <v>33</v>
      </c>
      <c r="B26" s="265" t="s">
        <v>517</v>
      </c>
      <c r="C26" s="54" t="s">
        <v>234</v>
      </c>
      <c r="D26" s="253">
        <v>0</v>
      </c>
      <c r="E26" s="253">
        <v>0</v>
      </c>
      <c r="F26" s="253">
        <v>0</v>
      </c>
      <c r="G26" s="254">
        <v>29</v>
      </c>
      <c r="H26" s="254">
        <v>29</v>
      </c>
      <c r="I26" s="254">
        <v>30</v>
      </c>
      <c r="J26" s="253">
        <v>30</v>
      </c>
      <c r="K26" s="253">
        <v>30</v>
      </c>
      <c r="L26" s="253">
        <v>30</v>
      </c>
      <c r="M26" s="253">
        <v>30</v>
      </c>
    </row>
    <row r="27" spans="1:13" ht="41.25" customHeight="1">
      <c r="A27" s="2" t="s">
        <v>34</v>
      </c>
      <c r="B27" s="82" t="s">
        <v>352</v>
      </c>
      <c r="C27" s="54" t="s">
        <v>263</v>
      </c>
      <c r="D27" s="22">
        <v>0.02</v>
      </c>
      <c r="E27" s="22">
        <v>0.02</v>
      </c>
      <c r="F27" s="22">
        <v>0.03</v>
      </c>
      <c r="G27" s="22">
        <v>10</v>
      </c>
      <c r="H27" s="22">
        <v>5</v>
      </c>
      <c r="I27" s="22">
        <v>10</v>
      </c>
      <c r="J27" s="22">
        <v>20</v>
      </c>
      <c r="K27" s="22">
        <v>40</v>
      </c>
      <c r="L27" s="22">
        <v>60</v>
      </c>
      <c r="M27" s="22">
        <v>60</v>
      </c>
    </row>
    <row r="28" spans="1:13" ht="61.5" customHeight="1">
      <c r="A28" s="2" t="s">
        <v>35</v>
      </c>
      <c r="B28" s="82" t="s">
        <v>354</v>
      </c>
      <c r="C28" s="54" t="s">
        <v>355</v>
      </c>
      <c r="D28" s="8">
        <v>1.3</v>
      </c>
      <c r="E28" s="8">
        <v>5.4</v>
      </c>
      <c r="F28" s="8">
        <v>4.8</v>
      </c>
      <c r="G28" s="8">
        <v>4.3</v>
      </c>
      <c r="H28" s="8">
        <v>3.6</v>
      </c>
      <c r="I28" s="8">
        <v>3.1</v>
      </c>
      <c r="J28" s="8">
        <v>2.6</v>
      </c>
      <c r="K28" s="8">
        <v>2.2</v>
      </c>
      <c r="L28" s="8">
        <v>2.2</v>
      </c>
      <c r="M28" s="8">
        <v>2.2</v>
      </c>
    </row>
    <row r="29" spans="1:13" ht="27" customHeight="1">
      <c r="A29" s="2" t="s">
        <v>36</v>
      </c>
      <c r="B29" s="82" t="s">
        <v>336</v>
      </c>
      <c r="C29" s="54" t="s">
        <v>238</v>
      </c>
      <c r="D29" s="8">
        <v>276</v>
      </c>
      <c r="E29" s="8">
        <v>180</v>
      </c>
      <c r="F29" s="8">
        <v>198</v>
      </c>
      <c r="G29" s="8">
        <v>216</v>
      </c>
      <c r="H29" s="8">
        <v>234</v>
      </c>
      <c r="I29" s="8">
        <v>252</v>
      </c>
      <c r="J29" s="8">
        <v>270</v>
      </c>
      <c r="K29" s="8">
        <v>288</v>
      </c>
      <c r="L29" s="8">
        <v>290</v>
      </c>
      <c r="M29" s="8">
        <v>300</v>
      </c>
    </row>
    <row r="30" spans="1:13" s="10" customFormat="1" ht="39" customHeight="1">
      <c r="A30" s="6" t="s">
        <v>37</v>
      </c>
      <c r="B30" s="235" t="s">
        <v>273</v>
      </c>
      <c r="C30" s="34" t="s">
        <v>263</v>
      </c>
      <c r="D30" s="22">
        <v>0.7</v>
      </c>
      <c r="E30" s="22">
        <v>0.49</v>
      </c>
      <c r="F30" s="22">
        <v>0.3</v>
      </c>
      <c r="G30" s="22">
        <v>0.2</v>
      </c>
      <c r="H30" s="22">
        <v>0.15</v>
      </c>
      <c r="I30" s="22">
        <v>0.12</v>
      </c>
      <c r="J30" s="22">
        <v>0.1</v>
      </c>
      <c r="K30" s="22">
        <v>0.09</v>
      </c>
      <c r="L30" s="22">
        <v>0.06</v>
      </c>
      <c r="M30" s="22">
        <v>0.02</v>
      </c>
    </row>
    <row r="31" spans="1:13" ht="82.5" customHeight="1">
      <c r="A31" s="72" t="s">
        <v>38</v>
      </c>
      <c r="B31" s="235" t="s">
        <v>341</v>
      </c>
      <c r="C31" s="12" t="s">
        <v>263</v>
      </c>
      <c r="D31" s="22"/>
      <c r="E31" s="22"/>
      <c r="F31" s="22">
        <v>57.3</v>
      </c>
      <c r="G31" s="22">
        <v>29.42</v>
      </c>
      <c r="H31" s="22">
        <v>13.28</v>
      </c>
      <c r="I31" s="22">
        <v>0</v>
      </c>
      <c r="J31" s="8">
        <v>0</v>
      </c>
      <c r="K31" s="8">
        <v>0</v>
      </c>
      <c r="L31" s="8">
        <v>0</v>
      </c>
      <c r="M31" s="8">
        <v>0</v>
      </c>
    </row>
    <row r="32" spans="1:13" ht="51" customHeight="1" hidden="1">
      <c r="A32" s="6" t="s">
        <v>34</v>
      </c>
      <c r="B32" s="235" t="s">
        <v>274</v>
      </c>
      <c r="C32" s="62" t="s">
        <v>275</v>
      </c>
      <c r="D32" s="8">
        <v>73</v>
      </c>
      <c r="E32" s="8">
        <v>67</v>
      </c>
      <c r="F32" s="8">
        <v>62</v>
      </c>
      <c r="G32" s="8">
        <v>57</v>
      </c>
      <c r="H32" s="8">
        <v>52</v>
      </c>
      <c r="I32" s="8">
        <v>47</v>
      </c>
      <c r="J32" s="8">
        <v>42</v>
      </c>
      <c r="K32" s="8">
        <v>37</v>
      </c>
      <c r="L32" s="8">
        <v>32</v>
      </c>
      <c r="M32" s="8">
        <v>27</v>
      </c>
    </row>
    <row r="33" spans="1:13" ht="38.25">
      <c r="A33" s="6" t="s">
        <v>39</v>
      </c>
      <c r="B33" s="82" t="s">
        <v>276</v>
      </c>
      <c r="C33" s="1" t="s">
        <v>263</v>
      </c>
      <c r="D33" s="8">
        <v>12.8</v>
      </c>
      <c r="E33" s="8">
        <v>12</v>
      </c>
      <c r="F33" s="8">
        <v>11</v>
      </c>
      <c r="G33" s="8">
        <v>10</v>
      </c>
      <c r="H33" s="8">
        <v>9</v>
      </c>
      <c r="I33" s="8">
        <v>8</v>
      </c>
      <c r="J33" s="8">
        <v>7</v>
      </c>
      <c r="K33" s="8">
        <v>6.5</v>
      </c>
      <c r="L33" s="8">
        <v>6</v>
      </c>
      <c r="M33" s="8">
        <v>5.5</v>
      </c>
    </row>
    <row r="34" spans="1:13" ht="38.25">
      <c r="A34" s="68" t="s">
        <v>40</v>
      </c>
      <c r="B34" s="82" t="s">
        <v>277</v>
      </c>
      <c r="C34" s="1" t="s">
        <v>263</v>
      </c>
      <c r="D34" s="8">
        <v>12</v>
      </c>
      <c r="E34" s="8">
        <v>11</v>
      </c>
      <c r="F34" s="8">
        <v>10</v>
      </c>
      <c r="G34" s="8">
        <v>9</v>
      </c>
      <c r="H34" s="8">
        <v>8</v>
      </c>
      <c r="I34" s="8">
        <v>7.5</v>
      </c>
      <c r="J34" s="8">
        <v>7</v>
      </c>
      <c r="K34" s="8">
        <v>6.5</v>
      </c>
      <c r="L34" s="8">
        <v>6</v>
      </c>
      <c r="M34" s="8">
        <v>5.5</v>
      </c>
    </row>
    <row r="35" spans="1:13" ht="67.5" customHeight="1">
      <c r="A35" s="6" t="s">
        <v>41</v>
      </c>
      <c r="B35" s="235" t="s">
        <v>365</v>
      </c>
      <c r="C35" s="1" t="s">
        <v>245</v>
      </c>
      <c r="D35" s="8">
        <v>29</v>
      </c>
      <c r="E35" s="8">
        <v>16</v>
      </c>
      <c r="F35" s="8">
        <v>12</v>
      </c>
      <c r="G35" s="8">
        <v>14</v>
      </c>
      <c r="H35" s="8">
        <v>10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 ht="219" customHeight="1">
      <c r="A36" s="68" t="s">
        <v>215</v>
      </c>
      <c r="B36" s="235" t="s">
        <v>278</v>
      </c>
      <c r="C36" s="1" t="s">
        <v>263</v>
      </c>
      <c r="D36" s="8">
        <v>55.55</v>
      </c>
      <c r="E36" s="8">
        <v>56</v>
      </c>
      <c r="F36" s="8">
        <v>57</v>
      </c>
      <c r="G36" s="8">
        <v>57.5</v>
      </c>
      <c r="H36" s="8">
        <v>58</v>
      </c>
      <c r="I36" s="8">
        <v>61</v>
      </c>
      <c r="J36" s="8">
        <v>63</v>
      </c>
      <c r="K36" s="8">
        <v>65</v>
      </c>
      <c r="L36" s="8">
        <v>67.5</v>
      </c>
      <c r="M36" s="8">
        <v>70</v>
      </c>
    </row>
    <row r="37" spans="1:14" ht="91.5" customHeight="1" hidden="1">
      <c r="A37" s="112" t="s">
        <v>39</v>
      </c>
      <c r="B37" s="266" t="s">
        <v>279</v>
      </c>
      <c r="C37" s="113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4" t="s">
        <v>367</v>
      </c>
    </row>
    <row r="38" spans="1:13" ht="15" customHeight="1" hidden="1">
      <c r="A38" s="112" t="s">
        <v>286</v>
      </c>
      <c r="B38" s="266" t="s">
        <v>280</v>
      </c>
      <c r="C38" s="113" t="s">
        <v>263</v>
      </c>
      <c r="D38" s="255">
        <v>100</v>
      </c>
      <c r="E38" s="255">
        <v>100</v>
      </c>
      <c r="F38" s="255">
        <v>100</v>
      </c>
      <c r="G38" s="255">
        <v>100</v>
      </c>
      <c r="H38" s="255">
        <v>100</v>
      </c>
      <c r="I38" s="255">
        <v>100</v>
      </c>
      <c r="J38" s="255">
        <v>100</v>
      </c>
      <c r="K38" s="255">
        <v>100</v>
      </c>
      <c r="L38" s="255">
        <v>100</v>
      </c>
      <c r="M38" s="255">
        <v>100</v>
      </c>
    </row>
    <row r="39" spans="1:13" ht="12.75" hidden="1">
      <c r="A39" s="112" t="s">
        <v>298</v>
      </c>
      <c r="B39" s="266" t="s">
        <v>281</v>
      </c>
      <c r="C39" s="113" t="s">
        <v>263</v>
      </c>
      <c r="D39" s="255">
        <v>66.02</v>
      </c>
      <c r="E39" s="255">
        <v>100</v>
      </c>
      <c r="F39" s="255">
        <v>100</v>
      </c>
      <c r="G39" s="255">
        <v>100</v>
      </c>
      <c r="H39" s="255">
        <v>100</v>
      </c>
      <c r="I39" s="255">
        <v>100</v>
      </c>
      <c r="J39" s="255">
        <v>100</v>
      </c>
      <c r="K39" s="255">
        <v>100</v>
      </c>
      <c r="L39" s="255">
        <v>100</v>
      </c>
      <c r="M39" s="255">
        <v>100</v>
      </c>
    </row>
    <row r="40" spans="1:13" ht="12.75" hidden="1">
      <c r="A40" s="112" t="s">
        <v>310</v>
      </c>
      <c r="B40" s="266" t="s">
        <v>282</v>
      </c>
      <c r="C40" s="113" t="s">
        <v>263</v>
      </c>
      <c r="D40" s="255">
        <v>79.79</v>
      </c>
      <c r="E40" s="255">
        <v>100</v>
      </c>
      <c r="F40" s="255">
        <v>100</v>
      </c>
      <c r="G40" s="255">
        <v>100</v>
      </c>
      <c r="H40" s="255">
        <v>100</v>
      </c>
      <c r="I40" s="255">
        <v>100</v>
      </c>
      <c r="J40" s="255">
        <v>100</v>
      </c>
      <c r="K40" s="255">
        <v>100</v>
      </c>
      <c r="L40" s="255">
        <v>100</v>
      </c>
      <c r="M40" s="255">
        <v>100</v>
      </c>
    </row>
    <row r="41" spans="1:13" ht="12.75" hidden="1">
      <c r="A41" s="112" t="s">
        <v>323</v>
      </c>
      <c r="B41" s="266" t="s">
        <v>283</v>
      </c>
      <c r="C41" s="113" t="s">
        <v>263</v>
      </c>
      <c r="D41" s="255">
        <v>70.27</v>
      </c>
      <c r="E41" s="255">
        <v>100</v>
      </c>
      <c r="F41" s="255">
        <v>100</v>
      </c>
      <c r="G41" s="255">
        <v>100</v>
      </c>
      <c r="H41" s="255">
        <v>100</v>
      </c>
      <c r="I41" s="255">
        <v>100</v>
      </c>
      <c r="J41" s="255">
        <v>100</v>
      </c>
      <c r="K41" s="255">
        <v>100</v>
      </c>
      <c r="L41" s="255">
        <v>100</v>
      </c>
      <c r="M41" s="255">
        <v>100</v>
      </c>
    </row>
    <row r="42" spans="1:13" ht="12.75" hidden="1">
      <c r="A42" s="112" t="s">
        <v>366</v>
      </c>
      <c r="B42" s="266" t="s">
        <v>284</v>
      </c>
      <c r="C42" s="113" t="s">
        <v>263</v>
      </c>
      <c r="D42" s="255">
        <v>100</v>
      </c>
      <c r="E42" s="255">
        <v>100</v>
      </c>
      <c r="F42" s="255">
        <v>100</v>
      </c>
      <c r="G42" s="255">
        <v>100</v>
      </c>
      <c r="H42" s="255">
        <v>100</v>
      </c>
      <c r="I42" s="255">
        <v>100</v>
      </c>
      <c r="J42" s="255">
        <v>100</v>
      </c>
      <c r="K42" s="255">
        <v>100</v>
      </c>
      <c r="L42" s="255">
        <v>100</v>
      </c>
      <c r="M42" s="255">
        <v>100</v>
      </c>
    </row>
    <row r="43" spans="1:13" ht="36" customHeight="1">
      <c r="A43" s="68" t="s">
        <v>540</v>
      </c>
      <c r="B43" s="235" t="s">
        <v>285</v>
      </c>
      <c r="C43" s="1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25.5">
      <c r="A44" s="68" t="s">
        <v>579</v>
      </c>
      <c r="B44" s="235" t="s">
        <v>280</v>
      </c>
      <c r="C44" s="62" t="s">
        <v>287</v>
      </c>
      <c r="D44" s="8" t="s">
        <v>288</v>
      </c>
      <c r="E44" s="8" t="s">
        <v>289</v>
      </c>
      <c r="F44" s="8" t="s">
        <v>290</v>
      </c>
      <c r="G44" s="8" t="s">
        <v>291</v>
      </c>
      <c r="H44" s="8" t="s">
        <v>292</v>
      </c>
      <c r="I44" s="8" t="s">
        <v>293</v>
      </c>
      <c r="J44" s="8" t="s">
        <v>294</v>
      </c>
      <c r="K44" s="8" t="s">
        <v>295</v>
      </c>
      <c r="L44" s="8" t="s">
        <v>296</v>
      </c>
      <c r="M44" s="8" t="s">
        <v>297</v>
      </c>
    </row>
    <row r="45" spans="1:13" ht="24.75" customHeight="1">
      <c r="A45" s="68" t="s">
        <v>580</v>
      </c>
      <c r="B45" s="235" t="s">
        <v>281</v>
      </c>
      <c r="C45" s="62" t="s">
        <v>299</v>
      </c>
      <c r="D45" s="54" t="s">
        <v>300</v>
      </c>
      <c r="E45" s="54" t="s">
        <v>301</v>
      </c>
      <c r="F45" s="54" t="s">
        <v>302</v>
      </c>
      <c r="G45" s="54" t="s">
        <v>303</v>
      </c>
      <c r="H45" s="54" t="s">
        <v>304</v>
      </c>
      <c r="I45" s="54" t="s">
        <v>305</v>
      </c>
      <c r="J45" s="54" t="s">
        <v>306</v>
      </c>
      <c r="K45" s="54" t="s">
        <v>307</v>
      </c>
      <c r="L45" s="54" t="s">
        <v>308</v>
      </c>
      <c r="M45" s="54" t="s">
        <v>309</v>
      </c>
    </row>
    <row r="46" spans="1:13" ht="25.5">
      <c r="A46" s="68" t="s">
        <v>581</v>
      </c>
      <c r="B46" s="235" t="s">
        <v>311</v>
      </c>
      <c r="C46" s="62" t="s">
        <v>312</v>
      </c>
      <c r="D46" s="54" t="s">
        <v>313</v>
      </c>
      <c r="E46" s="54" t="s">
        <v>314</v>
      </c>
      <c r="F46" s="54" t="s">
        <v>315</v>
      </c>
      <c r="G46" s="54" t="s">
        <v>316</v>
      </c>
      <c r="H46" s="54" t="s">
        <v>317</v>
      </c>
      <c r="I46" s="54" t="s">
        <v>318</v>
      </c>
      <c r="J46" s="54" t="s">
        <v>319</v>
      </c>
      <c r="K46" s="54" t="s">
        <v>320</v>
      </c>
      <c r="L46" s="54" t="s">
        <v>321</v>
      </c>
      <c r="M46" s="54" t="s">
        <v>322</v>
      </c>
    </row>
    <row r="47" spans="1:13" ht="25.5">
      <c r="A47" s="68" t="s">
        <v>582</v>
      </c>
      <c r="B47" s="235" t="s">
        <v>284</v>
      </c>
      <c r="C47" s="62" t="s">
        <v>312</v>
      </c>
      <c r="D47" s="54" t="s">
        <v>324</v>
      </c>
      <c r="E47" s="54" t="s">
        <v>325</v>
      </c>
      <c r="F47" s="54" t="s">
        <v>326</v>
      </c>
      <c r="G47" s="54" t="s">
        <v>327</v>
      </c>
      <c r="H47" s="54" t="s">
        <v>328</v>
      </c>
      <c r="I47" s="54" t="s">
        <v>329</v>
      </c>
      <c r="J47" s="54" t="s">
        <v>330</v>
      </c>
      <c r="K47" s="54" t="s">
        <v>331</v>
      </c>
      <c r="L47" s="54" t="s">
        <v>332</v>
      </c>
      <c r="M47" s="54" t="s">
        <v>333</v>
      </c>
    </row>
    <row r="48" spans="1:13" ht="25.5" customHeight="1">
      <c r="A48" s="69" t="s">
        <v>545</v>
      </c>
      <c r="B48" s="117" t="s">
        <v>334</v>
      </c>
      <c r="C48" s="70" t="s">
        <v>335</v>
      </c>
      <c r="D48" s="253">
        <v>19.7</v>
      </c>
      <c r="E48" s="253">
        <v>20</v>
      </c>
      <c r="F48" s="253">
        <v>20.5</v>
      </c>
      <c r="G48" s="253">
        <v>21</v>
      </c>
      <c r="H48" s="253">
        <v>21.5</v>
      </c>
      <c r="I48" s="253">
        <v>22</v>
      </c>
      <c r="J48" s="253">
        <v>22.5</v>
      </c>
      <c r="K48" s="253">
        <v>23</v>
      </c>
      <c r="L48" s="253">
        <v>23.5</v>
      </c>
      <c r="M48" s="253">
        <v>24</v>
      </c>
    </row>
    <row r="49" spans="1:13" ht="32.25" customHeight="1">
      <c r="A49" s="4" t="s">
        <v>546</v>
      </c>
      <c r="B49" s="117" t="s">
        <v>345</v>
      </c>
      <c r="C49" s="81" t="s">
        <v>263</v>
      </c>
      <c r="D49" s="253"/>
      <c r="E49" s="80">
        <v>9.1</v>
      </c>
      <c r="F49" s="80">
        <v>18.2</v>
      </c>
      <c r="G49" s="80">
        <v>18.2</v>
      </c>
      <c r="H49" s="80">
        <v>27.27</v>
      </c>
      <c r="I49" s="80">
        <v>72.7</v>
      </c>
      <c r="J49" s="253">
        <v>74.8</v>
      </c>
      <c r="K49" s="253">
        <v>77.1</v>
      </c>
      <c r="L49" s="253">
        <v>79.4</v>
      </c>
      <c r="M49" s="253">
        <v>82.6</v>
      </c>
    </row>
    <row r="50" spans="1:13" ht="68.25" customHeight="1">
      <c r="A50" s="2" t="s">
        <v>547</v>
      </c>
      <c r="B50" s="82" t="s">
        <v>357</v>
      </c>
      <c r="C50" s="54" t="s">
        <v>358</v>
      </c>
      <c r="D50" s="8">
        <v>6.48</v>
      </c>
      <c r="E50" s="54">
        <v>20.6</v>
      </c>
      <c r="F50" s="54">
        <v>33.84</v>
      </c>
      <c r="G50" s="100">
        <v>42.8</v>
      </c>
      <c r="H50" s="100">
        <v>52.3</v>
      </c>
      <c r="I50" s="100">
        <v>60.8</v>
      </c>
      <c r="J50" s="100">
        <v>69.2</v>
      </c>
      <c r="K50" s="100">
        <v>76.5</v>
      </c>
      <c r="L50" s="100">
        <v>83.8</v>
      </c>
      <c r="M50" s="100">
        <v>91.1</v>
      </c>
    </row>
    <row r="51" spans="1:13" ht="93.75" customHeight="1">
      <c r="A51" s="2" t="s">
        <v>548</v>
      </c>
      <c r="B51" s="82" t="s">
        <v>359</v>
      </c>
      <c r="C51" s="54" t="s">
        <v>360</v>
      </c>
      <c r="D51" s="8">
        <v>0.555</v>
      </c>
      <c r="E51" s="54">
        <v>1.073</v>
      </c>
      <c r="F51" s="54">
        <v>1.005</v>
      </c>
      <c r="G51" s="54">
        <v>1.02</v>
      </c>
      <c r="H51" s="54">
        <v>1.305</v>
      </c>
      <c r="I51" s="54">
        <v>1.2</v>
      </c>
      <c r="J51" s="8">
        <v>1.015</v>
      </c>
      <c r="K51" s="8">
        <v>1.305</v>
      </c>
      <c r="L51" s="8">
        <v>1.06</v>
      </c>
      <c r="M51" s="8">
        <v>1.08</v>
      </c>
    </row>
    <row r="52" spans="1:13" ht="40.5" customHeight="1">
      <c r="A52" s="2" t="s">
        <v>549</v>
      </c>
      <c r="B52" s="82" t="s">
        <v>578</v>
      </c>
      <c r="C52" s="54" t="s">
        <v>238</v>
      </c>
      <c r="D52" s="8">
        <v>0</v>
      </c>
      <c r="E52" s="54">
        <v>0</v>
      </c>
      <c r="F52" s="54">
        <v>3</v>
      </c>
      <c r="G52" s="54">
        <v>5</v>
      </c>
      <c r="H52" s="54">
        <v>7</v>
      </c>
      <c r="I52" s="54">
        <v>8</v>
      </c>
      <c r="J52" s="8">
        <v>9</v>
      </c>
      <c r="K52" s="8">
        <v>11</v>
      </c>
      <c r="L52" s="8">
        <v>11</v>
      </c>
      <c r="M52" s="8">
        <v>11</v>
      </c>
    </row>
    <row r="53" spans="1:13" ht="51">
      <c r="A53" s="2" t="s">
        <v>583</v>
      </c>
      <c r="B53" s="82" t="s">
        <v>274</v>
      </c>
      <c r="C53" s="62" t="s">
        <v>275</v>
      </c>
      <c r="D53" s="8">
        <v>73</v>
      </c>
      <c r="E53" s="8">
        <v>67</v>
      </c>
      <c r="F53" s="8">
        <v>62</v>
      </c>
      <c r="G53" s="8">
        <v>57</v>
      </c>
      <c r="H53" s="8">
        <v>52</v>
      </c>
      <c r="I53" s="8">
        <v>47</v>
      </c>
      <c r="J53" s="8">
        <v>42</v>
      </c>
      <c r="K53" s="8">
        <v>37</v>
      </c>
      <c r="L53" s="8">
        <v>32</v>
      </c>
      <c r="M53" s="8">
        <v>27</v>
      </c>
    </row>
    <row r="54" spans="1:13" ht="66" customHeight="1">
      <c r="A54" s="2" t="s">
        <v>346</v>
      </c>
      <c r="B54" s="82" t="s">
        <v>512</v>
      </c>
      <c r="C54" s="54" t="s">
        <v>513</v>
      </c>
      <c r="D54" s="8">
        <v>1778.6</v>
      </c>
      <c r="E54" s="54">
        <v>1924.4</v>
      </c>
      <c r="F54" s="54">
        <v>2040</v>
      </c>
      <c r="G54" s="54">
        <v>2961</v>
      </c>
      <c r="H54" s="54">
        <v>2370</v>
      </c>
      <c r="I54" s="54">
        <v>2654</v>
      </c>
      <c r="J54" s="8">
        <v>2972</v>
      </c>
      <c r="K54" s="8">
        <v>3260</v>
      </c>
      <c r="L54" s="8">
        <v>3586</v>
      </c>
      <c r="M54" s="8">
        <v>3945</v>
      </c>
    </row>
    <row r="55" spans="1:13" ht="77.25" customHeight="1">
      <c r="A55" s="59" t="s">
        <v>356</v>
      </c>
      <c r="B55" s="252" t="s">
        <v>572</v>
      </c>
      <c r="C55" s="54" t="s">
        <v>263</v>
      </c>
      <c r="D55" s="8"/>
      <c r="E55" s="54"/>
      <c r="F55" s="54"/>
      <c r="G55" s="54"/>
      <c r="H55" s="54"/>
      <c r="I55" s="54"/>
      <c r="J55" s="8"/>
      <c r="K55" s="8"/>
      <c r="L55" s="8"/>
      <c r="M55" s="8"/>
    </row>
    <row r="56" spans="1:13" ht="12.75">
      <c r="A56" s="270" t="s">
        <v>43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2"/>
    </row>
    <row r="57" spans="1:13" ht="38.25">
      <c r="A57" s="2" t="s">
        <v>44</v>
      </c>
      <c r="B57" s="82" t="s">
        <v>337</v>
      </c>
      <c r="C57" s="1" t="s">
        <v>338</v>
      </c>
      <c r="D57" s="8">
        <v>557</v>
      </c>
      <c r="E57" s="8">
        <v>500</v>
      </c>
      <c r="F57" s="8">
        <v>490</v>
      </c>
      <c r="G57" s="8">
        <v>480</v>
      </c>
      <c r="H57" s="8">
        <v>470</v>
      </c>
      <c r="I57" s="8">
        <v>460</v>
      </c>
      <c r="J57" s="8">
        <v>450</v>
      </c>
      <c r="K57" s="8">
        <v>440</v>
      </c>
      <c r="L57" s="8">
        <v>430</v>
      </c>
      <c r="M57" s="8">
        <v>420</v>
      </c>
    </row>
    <row r="58" spans="1:13" ht="76.5" customHeight="1">
      <c r="A58" s="2" t="s">
        <v>45</v>
      </c>
      <c r="B58" s="235" t="s">
        <v>339</v>
      </c>
      <c r="C58" s="1" t="s">
        <v>263</v>
      </c>
      <c r="D58" s="8">
        <v>6.5</v>
      </c>
      <c r="E58" s="8">
        <v>10</v>
      </c>
      <c r="F58" s="8">
        <v>9</v>
      </c>
      <c r="G58" s="8">
        <v>8</v>
      </c>
      <c r="H58" s="8">
        <v>6</v>
      </c>
      <c r="I58" s="8">
        <v>5</v>
      </c>
      <c r="J58" s="8">
        <v>4</v>
      </c>
      <c r="K58" s="8">
        <v>3</v>
      </c>
      <c r="L58" s="8">
        <v>2</v>
      </c>
      <c r="M58" s="8">
        <v>2</v>
      </c>
    </row>
    <row r="59" spans="1:13" ht="64.5" customHeight="1">
      <c r="A59" s="2" t="s">
        <v>46</v>
      </c>
      <c r="B59" s="82" t="s">
        <v>340</v>
      </c>
      <c r="C59" s="1" t="s">
        <v>263</v>
      </c>
      <c r="D59" s="8">
        <v>38.5</v>
      </c>
      <c r="E59" s="8">
        <v>40</v>
      </c>
      <c r="F59" s="8">
        <v>68</v>
      </c>
      <c r="G59" s="8">
        <v>74.5</v>
      </c>
      <c r="H59" s="8">
        <v>82</v>
      </c>
      <c r="I59" s="8">
        <v>85</v>
      </c>
      <c r="J59" s="8">
        <v>90</v>
      </c>
      <c r="K59" s="8">
        <v>92.5</v>
      </c>
      <c r="L59" s="8">
        <v>98.5</v>
      </c>
      <c r="M59" s="8">
        <v>100</v>
      </c>
    </row>
    <row r="60" spans="1:13" ht="66.75" customHeight="1">
      <c r="A60" s="2" t="s">
        <v>47</v>
      </c>
      <c r="B60" s="82" t="s">
        <v>503</v>
      </c>
      <c r="C60" s="1" t="s">
        <v>504</v>
      </c>
      <c r="D60" s="8"/>
      <c r="E60" s="256">
        <v>30.263</v>
      </c>
      <c r="F60" s="256">
        <v>4.24</v>
      </c>
      <c r="G60" s="256">
        <v>0.142</v>
      </c>
      <c r="H60" s="256">
        <v>0.8</v>
      </c>
      <c r="I60" s="8"/>
      <c r="J60" s="8"/>
      <c r="K60" s="8"/>
      <c r="L60" s="8"/>
      <c r="M60" s="8"/>
    </row>
    <row r="61" spans="1:13" ht="66.75" customHeight="1">
      <c r="A61" s="2" t="s">
        <v>48</v>
      </c>
      <c r="B61" s="82" t="s">
        <v>505</v>
      </c>
      <c r="C61" s="62" t="s">
        <v>506</v>
      </c>
      <c r="D61" s="258"/>
      <c r="E61" s="257">
        <v>0.245</v>
      </c>
      <c r="F61" s="257">
        <v>0.296</v>
      </c>
      <c r="G61" s="257">
        <v>0.861</v>
      </c>
      <c r="H61" s="257">
        <v>0.54</v>
      </c>
      <c r="I61" s="257"/>
      <c r="J61" s="257"/>
      <c r="K61" s="257"/>
      <c r="L61" s="257"/>
      <c r="M61" s="257"/>
    </row>
    <row r="62" spans="1:13" ht="63.75">
      <c r="A62" s="236" t="s">
        <v>380</v>
      </c>
      <c r="B62" s="252" t="s">
        <v>508</v>
      </c>
      <c r="C62" s="65" t="s">
        <v>238</v>
      </c>
      <c r="D62" s="8">
        <v>0</v>
      </c>
      <c r="E62" s="8">
        <v>22</v>
      </c>
      <c r="F62" s="8">
        <v>35</v>
      </c>
      <c r="G62" s="8">
        <v>50</v>
      </c>
      <c r="H62" s="8">
        <v>50</v>
      </c>
      <c r="I62" s="8">
        <v>50</v>
      </c>
      <c r="J62" s="8">
        <v>50</v>
      </c>
      <c r="K62" s="8">
        <v>50</v>
      </c>
      <c r="L62" s="8">
        <v>50</v>
      </c>
      <c r="M62" s="8">
        <v>50</v>
      </c>
    </row>
    <row r="63" spans="1:13" ht="63.75">
      <c r="A63" s="65" t="s">
        <v>519</v>
      </c>
      <c r="B63" s="252" t="s">
        <v>518</v>
      </c>
      <c r="C63" s="1" t="s">
        <v>263</v>
      </c>
      <c r="D63" s="8">
        <v>82</v>
      </c>
      <c r="E63" s="8">
        <v>82</v>
      </c>
      <c r="F63" s="8">
        <v>82</v>
      </c>
      <c r="G63" s="8">
        <v>82</v>
      </c>
      <c r="H63" s="8">
        <v>82</v>
      </c>
      <c r="I63" s="8">
        <v>82</v>
      </c>
      <c r="J63" s="8">
        <v>82</v>
      </c>
      <c r="K63" s="8">
        <v>82</v>
      </c>
      <c r="L63" s="8">
        <v>82</v>
      </c>
      <c r="M63" s="8">
        <v>82</v>
      </c>
    </row>
    <row r="64" spans="1:13" ht="51">
      <c r="A64" s="2" t="s">
        <v>521</v>
      </c>
      <c r="B64" s="82" t="s">
        <v>584</v>
      </c>
      <c r="C64" s="62" t="s">
        <v>522</v>
      </c>
      <c r="D64" s="8">
        <v>0.014</v>
      </c>
      <c r="E64" s="8">
        <v>0.033</v>
      </c>
      <c r="F64" s="8">
        <v>0.03</v>
      </c>
      <c r="G64" s="8">
        <v>0.025</v>
      </c>
      <c r="H64" s="8">
        <v>0.02</v>
      </c>
      <c r="I64" s="8">
        <v>0.018</v>
      </c>
      <c r="J64" s="8">
        <v>0.016</v>
      </c>
      <c r="K64" s="8">
        <v>0.014</v>
      </c>
      <c r="L64" s="8">
        <v>0.013</v>
      </c>
      <c r="M64" s="8">
        <v>0.012</v>
      </c>
    </row>
  </sheetData>
  <sheetProtection/>
  <mergeCells count="7">
    <mergeCell ref="A56:M56"/>
    <mergeCell ref="A20:M20"/>
    <mergeCell ref="A8:A10"/>
    <mergeCell ref="B8:B10"/>
    <mergeCell ref="C8:C10"/>
    <mergeCell ref="D8:M8"/>
    <mergeCell ref="A11:M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7.00390625" style="4" customWidth="1"/>
    <col min="2" max="2" width="32.25390625" style="88" customWidth="1"/>
    <col min="3" max="3" width="26.75390625" style="5" customWidth="1"/>
    <col min="4" max="4" width="18.625" style="4" customWidth="1"/>
    <col min="5" max="5" width="64.00390625" style="10" customWidth="1"/>
    <col min="6" max="6" width="74.125" style="4" customWidth="1"/>
    <col min="7" max="13" width="9.125" style="10" customWidth="1"/>
    <col min="14" max="16384" width="9.125" style="4" customWidth="1"/>
  </cols>
  <sheetData>
    <row r="1" spans="2:6" ht="15.75">
      <c r="B1" s="94"/>
      <c r="C1" s="94"/>
      <c r="D1" s="95"/>
      <c r="E1" s="95"/>
      <c r="F1" s="96" t="s">
        <v>211</v>
      </c>
    </row>
    <row r="2" spans="2:6" ht="15.75">
      <c r="B2" s="97"/>
      <c r="C2" s="94"/>
      <c r="D2" s="95"/>
      <c r="E2" s="95"/>
      <c r="F2" s="96" t="s">
        <v>49</v>
      </c>
    </row>
    <row r="3" spans="2:6" ht="15.75">
      <c r="B3" s="98"/>
      <c r="C3" s="94"/>
      <c r="D3" s="95"/>
      <c r="E3" s="95"/>
      <c r="F3" s="99" t="s">
        <v>50</v>
      </c>
    </row>
    <row r="4" spans="2:6" ht="15.75">
      <c r="B4" s="94"/>
      <c r="C4" s="94"/>
      <c r="D4" s="95"/>
      <c r="E4" s="95"/>
      <c r="F4" s="96" t="s">
        <v>51</v>
      </c>
    </row>
    <row r="5" spans="2:6" ht="12.75">
      <c r="B5" s="94"/>
      <c r="C5" s="94"/>
      <c r="D5" s="95"/>
      <c r="E5" s="95"/>
      <c r="F5" s="95"/>
    </row>
    <row r="6" spans="2:6" ht="18.75">
      <c r="B6" s="295" t="s">
        <v>53</v>
      </c>
      <c r="C6" s="295"/>
      <c r="D6" s="295"/>
      <c r="E6" s="295"/>
      <c r="F6" s="295"/>
    </row>
    <row r="7" spans="2:6" ht="12.75">
      <c r="B7" s="94"/>
      <c r="C7" s="94"/>
      <c r="D7" s="95"/>
      <c r="E7" s="95"/>
      <c r="F7" s="95"/>
    </row>
    <row r="8" spans="1:6" ht="16.5" customHeight="1">
      <c r="A8" s="276" t="s">
        <v>10</v>
      </c>
      <c r="B8" s="296" t="s">
        <v>54</v>
      </c>
      <c r="C8" s="296" t="s">
        <v>55</v>
      </c>
      <c r="D8" s="298" t="s">
        <v>56</v>
      </c>
      <c r="E8" s="298" t="s">
        <v>208</v>
      </c>
      <c r="F8" s="298" t="s">
        <v>72</v>
      </c>
    </row>
    <row r="9" spans="1:6" ht="19.5" customHeight="1">
      <c r="A9" s="277"/>
      <c r="B9" s="297"/>
      <c r="C9" s="297"/>
      <c r="D9" s="298"/>
      <c r="E9" s="298"/>
      <c r="F9" s="298"/>
    </row>
    <row r="10" spans="1:6" ht="21.75" customHeight="1">
      <c r="A10" s="277"/>
      <c r="B10" s="297"/>
      <c r="C10" s="297"/>
      <c r="D10" s="298"/>
      <c r="E10" s="298"/>
      <c r="F10" s="298"/>
    </row>
    <row r="11" spans="1:6" ht="15.75">
      <c r="A11" s="294" t="s">
        <v>24</v>
      </c>
      <c r="B11" s="294"/>
      <c r="C11" s="294"/>
      <c r="D11" s="294"/>
      <c r="E11" s="294"/>
      <c r="F11" s="294"/>
    </row>
    <row r="12" spans="1:13" s="18" customFormat="1" ht="225" customHeight="1">
      <c r="A12" s="13" t="s">
        <v>25</v>
      </c>
      <c r="B12" s="92" t="s">
        <v>57</v>
      </c>
      <c r="C12" s="15" t="s">
        <v>9</v>
      </c>
      <c r="D12" s="16" t="s">
        <v>58</v>
      </c>
      <c r="E12" s="53" t="s">
        <v>255</v>
      </c>
      <c r="F12" s="17" t="s">
        <v>112</v>
      </c>
      <c r="G12" s="31"/>
      <c r="H12" s="31"/>
      <c r="I12" s="31"/>
      <c r="J12" s="31"/>
      <c r="K12" s="31"/>
      <c r="L12" s="31"/>
      <c r="M12" s="31"/>
    </row>
    <row r="13" spans="1:6" ht="122.25" customHeight="1">
      <c r="A13" s="1" t="s">
        <v>26</v>
      </c>
      <c r="B13" s="93" t="s">
        <v>59</v>
      </c>
      <c r="C13" s="14" t="s">
        <v>60</v>
      </c>
      <c r="D13" s="16" t="s">
        <v>58</v>
      </c>
      <c r="E13" s="20" t="s">
        <v>256</v>
      </c>
      <c r="F13" s="17" t="s">
        <v>112</v>
      </c>
    </row>
    <row r="14" spans="1:6" ht="237.75" customHeight="1">
      <c r="A14" s="13" t="s">
        <v>27</v>
      </c>
      <c r="B14" s="93" t="s">
        <v>61</v>
      </c>
      <c r="C14" s="14" t="s">
        <v>62</v>
      </c>
      <c r="D14" s="16" t="s">
        <v>58</v>
      </c>
      <c r="E14" s="14" t="s">
        <v>66</v>
      </c>
      <c r="F14" s="14" t="s">
        <v>112</v>
      </c>
    </row>
    <row r="15" spans="1:6" ht="153" customHeight="1">
      <c r="A15" s="13" t="s">
        <v>29</v>
      </c>
      <c r="B15" s="92" t="s">
        <v>63</v>
      </c>
      <c r="C15" s="92" t="s">
        <v>67</v>
      </c>
      <c r="D15" s="16" t="s">
        <v>58</v>
      </c>
      <c r="E15" s="19" t="s">
        <v>68</v>
      </c>
      <c r="F15" s="14" t="s">
        <v>112</v>
      </c>
    </row>
    <row r="16" spans="1:6" s="10" customFormat="1" ht="15.75">
      <c r="A16" s="282" t="s">
        <v>42</v>
      </c>
      <c r="B16" s="282"/>
      <c r="C16" s="282"/>
      <c r="D16" s="282"/>
      <c r="E16" s="282"/>
      <c r="F16" s="282"/>
    </row>
    <row r="17" spans="1:6" ht="156" customHeight="1">
      <c r="A17" s="16" t="s">
        <v>30</v>
      </c>
      <c r="B17" s="92" t="s">
        <v>523</v>
      </c>
      <c r="C17" s="92" t="s">
        <v>69</v>
      </c>
      <c r="D17" s="21" t="s">
        <v>58</v>
      </c>
      <c r="E17" s="75" t="s">
        <v>524</v>
      </c>
      <c r="F17" s="76" t="s">
        <v>525</v>
      </c>
    </row>
    <row r="18" spans="1:6" ht="156" customHeight="1">
      <c r="A18" s="16" t="s">
        <v>31</v>
      </c>
      <c r="B18" s="14" t="s">
        <v>361</v>
      </c>
      <c r="C18" s="92" t="s">
        <v>69</v>
      </c>
      <c r="D18" s="101" t="s">
        <v>58</v>
      </c>
      <c r="E18" s="75" t="s">
        <v>368</v>
      </c>
      <c r="F18" s="105" t="s">
        <v>530</v>
      </c>
    </row>
    <row r="19" spans="1:6" ht="313.5" customHeight="1">
      <c r="A19" s="8" t="s">
        <v>32</v>
      </c>
      <c r="B19" s="92" t="s">
        <v>348</v>
      </c>
      <c r="C19" s="93" t="s">
        <v>9</v>
      </c>
      <c r="D19" s="21" t="s">
        <v>58</v>
      </c>
      <c r="E19" s="52" t="s">
        <v>526</v>
      </c>
      <c r="F19" s="52" t="s">
        <v>527</v>
      </c>
    </row>
    <row r="20" spans="1:9" ht="215.25" customHeight="1">
      <c r="A20" s="8" t="s">
        <v>33</v>
      </c>
      <c r="B20" s="238" t="s">
        <v>528</v>
      </c>
      <c r="C20" s="15" t="s">
        <v>9</v>
      </c>
      <c r="D20" s="21" t="s">
        <v>58</v>
      </c>
      <c r="E20" s="246" t="s">
        <v>567</v>
      </c>
      <c r="F20" s="237" t="s">
        <v>529</v>
      </c>
      <c r="H20" s="119"/>
      <c r="I20" s="119"/>
    </row>
    <row r="21" spans="1:9" ht="108.75" customHeight="1">
      <c r="A21" s="8" t="s">
        <v>34</v>
      </c>
      <c r="B21" s="238" t="s">
        <v>569</v>
      </c>
      <c r="C21" s="15" t="s">
        <v>9</v>
      </c>
      <c r="D21" s="21" t="s">
        <v>58</v>
      </c>
      <c r="E21" s="246" t="s">
        <v>557</v>
      </c>
      <c r="F21" s="237" t="s">
        <v>531</v>
      </c>
      <c r="H21" s="243"/>
      <c r="I21" s="119"/>
    </row>
    <row r="22" spans="1:9" ht="246.75" customHeight="1">
      <c r="A22" s="8" t="s">
        <v>35</v>
      </c>
      <c r="B22" s="93" t="s">
        <v>532</v>
      </c>
      <c r="C22" s="15" t="s">
        <v>9</v>
      </c>
      <c r="D22" s="24" t="s">
        <v>58</v>
      </c>
      <c r="E22" s="77" t="s">
        <v>349</v>
      </c>
      <c r="F22" s="52" t="s">
        <v>533</v>
      </c>
      <c r="H22" s="243"/>
      <c r="I22" s="119"/>
    </row>
    <row r="23" spans="1:9" ht="132" customHeight="1">
      <c r="A23" s="22" t="s">
        <v>36</v>
      </c>
      <c r="B23" s="92" t="s">
        <v>104</v>
      </c>
      <c r="C23" s="19" t="s">
        <v>9</v>
      </c>
      <c r="D23" s="12" t="s">
        <v>58</v>
      </c>
      <c r="E23" s="75" t="s">
        <v>253</v>
      </c>
      <c r="F23" s="77" t="s">
        <v>105</v>
      </c>
      <c r="H23" s="243"/>
      <c r="I23" s="119"/>
    </row>
    <row r="24" spans="1:6" ht="150.75" customHeight="1">
      <c r="A24" s="22" t="s">
        <v>37</v>
      </c>
      <c r="B24" s="93" t="s">
        <v>570</v>
      </c>
      <c r="C24" s="93" t="s">
        <v>9</v>
      </c>
      <c r="D24" s="26" t="s">
        <v>58</v>
      </c>
      <c r="E24" s="87" t="s">
        <v>370</v>
      </c>
      <c r="F24" s="76" t="s">
        <v>369</v>
      </c>
    </row>
    <row r="25" spans="1:6" ht="150.75" customHeight="1">
      <c r="A25" s="22" t="s">
        <v>38</v>
      </c>
      <c r="B25" s="93" t="s">
        <v>363</v>
      </c>
      <c r="C25" s="19" t="s">
        <v>9</v>
      </c>
      <c r="D25" s="26" t="s">
        <v>58</v>
      </c>
      <c r="E25" s="77" t="s">
        <v>371</v>
      </c>
      <c r="F25" s="52" t="s">
        <v>372</v>
      </c>
    </row>
    <row r="26" spans="1:6" ht="123" customHeight="1">
      <c r="A26" s="22" t="s">
        <v>39</v>
      </c>
      <c r="B26" s="93" t="s">
        <v>350</v>
      </c>
      <c r="C26" s="19" t="s">
        <v>9</v>
      </c>
      <c r="D26" s="26" t="s">
        <v>58</v>
      </c>
      <c r="E26" s="52" t="s">
        <v>373</v>
      </c>
      <c r="F26" s="75" t="s">
        <v>70</v>
      </c>
    </row>
    <row r="27" spans="1:6" ht="276.75" customHeight="1" hidden="1">
      <c r="A27" s="22" t="s">
        <v>37</v>
      </c>
      <c r="B27" s="90" t="s">
        <v>209</v>
      </c>
      <c r="C27" s="66" t="s">
        <v>106</v>
      </c>
      <c r="D27" s="73" t="s">
        <v>58</v>
      </c>
      <c r="E27" s="25" t="s">
        <v>343</v>
      </c>
      <c r="F27" s="66" t="s">
        <v>70</v>
      </c>
    </row>
    <row r="28" spans="1:6" ht="152.25" customHeight="1" hidden="1">
      <c r="A28" s="30" t="s">
        <v>38</v>
      </c>
      <c r="B28" s="89" t="s">
        <v>210</v>
      </c>
      <c r="C28" s="23" t="s">
        <v>106</v>
      </c>
      <c r="D28" s="26" t="s">
        <v>58</v>
      </c>
      <c r="E28" s="19" t="s">
        <v>254</v>
      </c>
      <c r="F28" s="28" t="s">
        <v>28</v>
      </c>
    </row>
    <row r="29" spans="1:6" ht="188.25" customHeight="1">
      <c r="A29" s="27" t="s">
        <v>40</v>
      </c>
      <c r="B29" s="239" t="s">
        <v>362</v>
      </c>
      <c r="C29" s="93" t="s">
        <v>9</v>
      </c>
      <c r="D29" s="26" t="s">
        <v>58</v>
      </c>
      <c r="E29" s="114" t="s">
        <v>374</v>
      </c>
      <c r="F29" s="75" t="s">
        <v>534</v>
      </c>
    </row>
    <row r="30" spans="1:6" ht="90" customHeight="1">
      <c r="A30" s="30" t="s">
        <v>41</v>
      </c>
      <c r="B30" s="93" t="s">
        <v>115</v>
      </c>
      <c r="C30" s="14" t="s">
        <v>60</v>
      </c>
      <c r="D30" s="16" t="s">
        <v>58</v>
      </c>
      <c r="E30" s="240" t="s">
        <v>537</v>
      </c>
      <c r="F30" s="75" t="s">
        <v>538</v>
      </c>
    </row>
    <row r="31" spans="1:6" ht="137.25" customHeight="1">
      <c r="A31" s="30" t="s">
        <v>215</v>
      </c>
      <c r="B31" s="93" t="s">
        <v>364</v>
      </c>
      <c r="C31" s="93" t="s">
        <v>9</v>
      </c>
      <c r="D31" s="101" t="s">
        <v>58</v>
      </c>
      <c r="E31" s="240" t="s">
        <v>585</v>
      </c>
      <c r="F31" s="115" t="s">
        <v>541</v>
      </c>
    </row>
    <row r="32" spans="1:6" ht="97.5" customHeight="1" hidden="1">
      <c r="A32" s="30"/>
      <c r="B32" s="233" t="s">
        <v>364</v>
      </c>
      <c r="C32" s="233" t="s">
        <v>9</v>
      </c>
      <c r="D32" s="101" t="s">
        <v>58</v>
      </c>
      <c r="E32" s="241"/>
      <c r="F32" s="115" t="s">
        <v>375</v>
      </c>
    </row>
    <row r="33" spans="1:6" ht="131.25" customHeight="1">
      <c r="A33" s="30" t="s">
        <v>540</v>
      </c>
      <c r="B33" s="233" t="s">
        <v>542</v>
      </c>
      <c r="C33" s="233" t="s">
        <v>9</v>
      </c>
      <c r="D33" s="101" t="s">
        <v>58</v>
      </c>
      <c r="E33" s="240" t="s">
        <v>558</v>
      </c>
      <c r="F33" s="250" t="s">
        <v>112</v>
      </c>
    </row>
    <row r="34" spans="1:8" ht="101.25" customHeight="1">
      <c r="A34" s="30" t="s">
        <v>545</v>
      </c>
      <c r="B34" s="233" t="s">
        <v>543</v>
      </c>
      <c r="C34" s="233" t="s">
        <v>9</v>
      </c>
      <c r="D34" s="101" t="s">
        <v>58</v>
      </c>
      <c r="E34" s="240" t="s">
        <v>559</v>
      </c>
      <c r="F34" s="75" t="s">
        <v>544</v>
      </c>
      <c r="H34" s="242"/>
    </row>
    <row r="35" spans="1:8" ht="152.25" customHeight="1">
      <c r="A35" s="30" t="s">
        <v>546</v>
      </c>
      <c r="B35" s="20" t="s">
        <v>601</v>
      </c>
      <c r="C35" s="19" t="s">
        <v>106</v>
      </c>
      <c r="D35" s="101" t="s">
        <v>58</v>
      </c>
      <c r="E35" s="240" t="s">
        <v>571</v>
      </c>
      <c r="F35" s="75" t="s">
        <v>573</v>
      </c>
      <c r="H35" s="243"/>
    </row>
    <row r="36" spans="1:6" ht="173.25">
      <c r="A36" s="74" t="s">
        <v>547</v>
      </c>
      <c r="B36" s="102" t="s">
        <v>344</v>
      </c>
      <c r="C36" s="19" t="s">
        <v>9</v>
      </c>
      <c r="D36" s="85" t="s">
        <v>58</v>
      </c>
      <c r="E36" s="244" t="s">
        <v>376</v>
      </c>
      <c r="F36" s="15" t="s">
        <v>345</v>
      </c>
    </row>
    <row r="37" spans="1:6" ht="262.5" customHeight="1">
      <c r="A37" s="284" t="s">
        <v>548</v>
      </c>
      <c r="B37" s="286" t="s">
        <v>209</v>
      </c>
      <c r="C37" s="288" t="s">
        <v>106</v>
      </c>
      <c r="D37" s="290" t="s">
        <v>58</v>
      </c>
      <c r="E37" s="249" t="s">
        <v>564</v>
      </c>
      <c r="F37" s="292" t="s">
        <v>70</v>
      </c>
    </row>
    <row r="38" spans="1:6" ht="44.25" customHeight="1">
      <c r="A38" s="285"/>
      <c r="B38" s="287"/>
      <c r="C38" s="289"/>
      <c r="D38" s="291"/>
      <c r="E38" s="114" t="s">
        <v>565</v>
      </c>
      <c r="F38" s="293"/>
    </row>
    <row r="39" spans="1:6" ht="171.75" customHeight="1">
      <c r="A39" s="74" t="s">
        <v>549</v>
      </c>
      <c r="B39" s="247" t="s">
        <v>561</v>
      </c>
      <c r="C39" s="19" t="s">
        <v>106</v>
      </c>
      <c r="D39" s="85" t="s">
        <v>58</v>
      </c>
      <c r="E39" s="114" t="s">
        <v>563</v>
      </c>
      <c r="F39" s="248" t="s">
        <v>562</v>
      </c>
    </row>
    <row r="40" spans="1:6" ht="153" customHeight="1">
      <c r="A40" s="4" t="s">
        <v>560</v>
      </c>
      <c r="B40" s="19" t="s">
        <v>210</v>
      </c>
      <c r="C40" s="19" t="s">
        <v>106</v>
      </c>
      <c r="D40" s="85" t="s">
        <v>58</v>
      </c>
      <c r="E40" s="114" t="s">
        <v>539</v>
      </c>
      <c r="F40" s="76" t="s">
        <v>28</v>
      </c>
    </row>
    <row r="41" spans="1:6" ht="15.75">
      <c r="A41" s="282" t="s">
        <v>43</v>
      </c>
      <c r="B41" s="282"/>
      <c r="C41" s="282"/>
      <c r="D41" s="282"/>
      <c r="E41" s="283"/>
      <c r="F41" s="282"/>
    </row>
    <row r="42" spans="1:6" ht="254.25" customHeight="1">
      <c r="A42" s="21" t="s">
        <v>44</v>
      </c>
      <c r="B42" s="93" t="s">
        <v>550</v>
      </c>
      <c r="C42" s="93" t="s">
        <v>9</v>
      </c>
      <c r="D42" s="26" t="s">
        <v>58</v>
      </c>
      <c r="E42" s="87" t="s">
        <v>568</v>
      </c>
      <c r="F42" s="52" t="s">
        <v>551</v>
      </c>
    </row>
    <row r="43" spans="1:6" ht="106.5" customHeight="1">
      <c r="A43" s="21" t="s">
        <v>45</v>
      </c>
      <c r="B43" s="233" t="s">
        <v>552</v>
      </c>
      <c r="C43" s="233" t="s">
        <v>9</v>
      </c>
      <c r="D43" s="26" t="s">
        <v>58</v>
      </c>
      <c r="E43" s="87" t="s">
        <v>566</v>
      </c>
      <c r="F43" s="87" t="s">
        <v>553</v>
      </c>
    </row>
    <row r="44" spans="2:6" ht="224.25" customHeight="1">
      <c r="B44" s="93" t="s">
        <v>602</v>
      </c>
      <c r="C44" s="93" t="s">
        <v>9</v>
      </c>
      <c r="D44" s="26" t="s">
        <v>58</v>
      </c>
      <c r="E44" s="116" t="s">
        <v>554</v>
      </c>
      <c r="F44" s="19" t="s">
        <v>112</v>
      </c>
    </row>
    <row r="45" spans="1:6" ht="363" customHeight="1">
      <c r="A45" s="21" t="s">
        <v>46</v>
      </c>
      <c r="B45" s="93" t="s">
        <v>604</v>
      </c>
      <c r="C45" s="19" t="s">
        <v>106</v>
      </c>
      <c r="D45" s="26" t="s">
        <v>58</v>
      </c>
      <c r="E45" s="116" t="s">
        <v>377</v>
      </c>
      <c r="F45" s="77" t="s">
        <v>110</v>
      </c>
    </row>
    <row r="46" spans="1:6" ht="127.5" customHeight="1">
      <c r="A46" s="21" t="s">
        <v>47</v>
      </c>
      <c r="B46" s="233" t="s">
        <v>111</v>
      </c>
      <c r="C46" s="19" t="s">
        <v>9</v>
      </c>
      <c r="D46" s="19" t="s">
        <v>58</v>
      </c>
      <c r="E46" s="66" t="s">
        <v>379</v>
      </c>
      <c r="F46" s="61" t="s">
        <v>378</v>
      </c>
    </row>
    <row r="47" spans="1:6" ht="206.25" customHeight="1">
      <c r="A47" s="106" t="s">
        <v>48</v>
      </c>
      <c r="B47" s="20" t="s">
        <v>605</v>
      </c>
      <c r="C47" s="19" t="s">
        <v>113</v>
      </c>
      <c r="D47" s="21" t="s">
        <v>58</v>
      </c>
      <c r="E47" s="66" t="s">
        <v>555</v>
      </c>
      <c r="F47" s="245" t="s">
        <v>556</v>
      </c>
    </row>
    <row r="48" spans="1:15" ht="133.5" customHeight="1">
      <c r="A48" s="85" t="s">
        <v>380</v>
      </c>
      <c r="B48" s="93" t="s">
        <v>212</v>
      </c>
      <c r="C48" s="14" t="s">
        <v>67</v>
      </c>
      <c r="D48" s="16" t="s">
        <v>58</v>
      </c>
      <c r="E48" s="52" t="s">
        <v>535</v>
      </c>
      <c r="F48" s="75" t="s">
        <v>536</v>
      </c>
      <c r="N48" s="10"/>
      <c r="O48" s="10"/>
    </row>
    <row r="49" spans="1:15" ht="78.75">
      <c r="A49" s="103" t="s">
        <v>519</v>
      </c>
      <c r="B49" s="19" t="s">
        <v>574</v>
      </c>
      <c r="C49" s="19" t="s">
        <v>9</v>
      </c>
      <c r="D49" s="85" t="s">
        <v>58</v>
      </c>
      <c r="E49" s="114" t="s">
        <v>576</v>
      </c>
      <c r="F49" s="76" t="s">
        <v>575</v>
      </c>
      <c r="G49" s="119"/>
      <c r="H49" s="119"/>
      <c r="I49" s="119"/>
      <c r="J49" s="119"/>
      <c r="K49" s="119"/>
      <c r="L49" s="119"/>
      <c r="M49" s="119"/>
      <c r="N49" s="10"/>
      <c r="O49" s="10"/>
    </row>
    <row r="50" spans="1:15" ht="15.75">
      <c r="A50" s="103"/>
      <c r="B50" s="104"/>
      <c r="C50" s="32"/>
      <c r="D50" s="31"/>
      <c r="E50" s="31"/>
      <c r="F50" s="31"/>
      <c r="N50" s="10"/>
      <c r="O50" s="10"/>
    </row>
    <row r="51" spans="1:15" ht="15.75">
      <c r="A51" s="103"/>
      <c r="B51" s="104"/>
      <c r="C51" s="32"/>
      <c r="D51" s="31"/>
      <c r="E51" s="31"/>
      <c r="F51" s="31"/>
      <c r="N51" s="10"/>
      <c r="O51" s="10"/>
    </row>
    <row r="52" spans="1:15" ht="18.75">
      <c r="A52" s="103"/>
      <c r="B52" s="104"/>
      <c r="C52" s="32"/>
      <c r="D52" s="31"/>
      <c r="E52" s="259"/>
      <c r="F52" s="31"/>
      <c r="N52" s="10"/>
      <c r="O52" s="10"/>
    </row>
    <row r="53" spans="1:15" ht="18.75">
      <c r="A53" s="103"/>
      <c r="B53" s="104"/>
      <c r="C53" s="32"/>
      <c r="D53" s="31"/>
      <c r="E53" s="260"/>
      <c r="F53" s="31"/>
      <c r="N53" s="10"/>
      <c r="O53" s="10"/>
    </row>
    <row r="54" spans="1:15" ht="18.75">
      <c r="A54" s="103"/>
      <c r="B54" s="104"/>
      <c r="C54" s="32"/>
      <c r="D54" s="31"/>
      <c r="E54" s="261"/>
      <c r="F54" s="31"/>
      <c r="N54" s="10"/>
      <c r="O54" s="10"/>
    </row>
    <row r="55" spans="1:15" ht="18.75">
      <c r="A55" s="103"/>
      <c r="B55" s="104"/>
      <c r="C55" s="32"/>
      <c r="D55" s="31"/>
      <c r="E55" s="260"/>
      <c r="F55" s="31"/>
      <c r="N55" s="10"/>
      <c r="O55" s="10"/>
    </row>
    <row r="56" spans="1:15" ht="18.75">
      <c r="A56" s="103"/>
      <c r="B56" s="104"/>
      <c r="C56" s="32"/>
      <c r="D56" s="31"/>
      <c r="E56" s="262"/>
      <c r="F56" s="31"/>
      <c r="N56" s="10"/>
      <c r="O56" s="10"/>
    </row>
    <row r="57" spans="1:15" ht="18.75">
      <c r="A57" s="103"/>
      <c r="B57" s="104"/>
      <c r="C57" s="32"/>
      <c r="D57" s="31"/>
      <c r="E57" s="263"/>
      <c r="F57" s="31"/>
      <c r="N57" s="10"/>
      <c r="O57" s="10"/>
    </row>
    <row r="58" spans="1:15" ht="15.75">
      <c r="A58" s="103"/>
      <c r="B58" s="104"/>
      <c r="C58" s="32"/>
      <c r="D58" s="31"/>
      <c r="E58" s="31"/>
      <c r="F58" s="31"/>
      <c r="N58" s="10"/>
      <c r="O58" s="10"/>
    </row>
    <row r="59" spans="1:15" ht="15.75">
      <c r="A59" s="103"/>
      <c r="B59" s="104"/>
      <c r="C59" s="32"/>
      <c r="D59" s="31"/>
      <c r="E59" s="31"/>
      <c r="F59" s="31"/>
      <c r="N59" s="10"/>
      <c r="O59" s="10"/>
    </row>
    <row r="60" spans="1:15" ht="15.75">
      <c r="A60" s="103"/>
      <c r="B60" s="104"/>
      <c r="C60" s="32"/>
      <c r="D60" s="31"/>
      <c r="E60" s="31"/>
      <c r="F60" s="31"/>
      <c r="N60" s="10"/>
      <c r="O60" s="10"/>
    </row>
    <row r="61" spans="1:15" ht="15.75">
      <c r="A61" s="103"/>
      <c r="B61" s="104"/>
      <c r="C61" s="32"/>
      <c r="D61" s="31"/>
      <c r="E61" s="31"/>
      <c r="F61" s="31"/>
      <c r="N61" s="10"/>
      <c r="O61" s="10"/>
    </row>
    <row r="62" spans="1:15" ht="15.75">
      <c r="A62" s="103"/>
      <c r="B62" s="104"/>
      <c r="C62" s="32"/>
      <c r="D62" s="31"/>
      <c r="E62" s="31"/>
      <c r="F62" s="31"/>
      <c r="N62" s="10"/>
      <c r="O62" s="10"/>
    </row>
    <row r="63" spans="1:15" ht="15.75">
      <c r="A63" s="103"/>
      <c r="B63" s="104"/>
      <c r="C63" s="32"/>
      <c r="D63" s="31"/>
      <c r="E63" s="31"/>
      <c r="F63" s="31"/>
      <c r="N63" s="10"/>
      <c r="O63" s="10"/>
    </row>
    <row r="64" spans="1:15" ht="15.75">
      <c r="A64" s="103"/>
      <c r="B64" s="104"/>
      <c r="C64" s="32"/>
      <c r="D64" s="31"/>
      <c r="E64" s="31"/>
      <c r="F64" s="31"/>
      <c r="N64" s="10"/>
      <c r="O64" s="10"/>
    </row>
    <row r="65" spans="1:15" ht="15.75">
      <c r="A65" s="103"/>
      <c r="B65" s="104"/>
      <c r="C65" s="32"/>
      <c r="D65" s="31"/>
      <c r="E65" s="31"/>
      <c r="F65" s="31"/>
      <c r="N65" s="10"/>
      <c r="O65" s="10"/>
    </row>
    <row r="66" spans="1:15" ht="15.75">
      <c r="A66" s="103"/>
      <c r="B66" s="104"/>
      <c r="C66" s="32"/>
      <c r="D66" s="31"/>
      <c r="E66" s="31"/>
      <c r="F66" s="31"/>
      <c r="N66" s="10"/>
      <c r="O66" s="10"/>
    </row>
    <row r="67" spans="1:15" ht="15.75">
      <c r="A67" s="103"/>
      <c r="B67" s="104"/>
      <c r="C67" s="32"/>
      <c r="D67" s="31"/>
      <c r="E67" s="31"/>
      <c r="F67" s="31"/>
      <c r="N67" s="10"/>
      <c r="O67" s="10"/>
    </row>
    <row r="68" spans="1:15" ht="15.75">
      <c r="A68" s="103"/>
      <c r="B68" s="104"/>
      <c r="C68" s="32"/>
      <c r="D68" s="31"/>
      <c r="E68" s="31"/>
      <c r="F68" s="31"/>
      <c r="N68" s="10"/>
      <c r="O68" s="10"/>
    </row>
    <row r="69" spans="1:15" ht="15.75">
      <c r="A69" s="103"/>
      <c r="B69" s="104"/>
      <c r="C69" s="32"/>
      <c r="D69" s="31"/>
      <c r="E69" s="31"/>
      <c r="F69" s="31"/>
      <c r="N69" s="10"/>
      <c r="O69" s="10"/>
    </row>
    <row r="70" spans="1:15" ht="15.75">
      <c r="A70" s="103"/>
      <c r="B70" s="104"/>
      <c r="C70" s="32"/>
      <c r="D70" s="31"/>
      <c r="E70" s="31"/>
      <c r="F70" s="31"/>
      <c r="N70" s="10"/>
      <c r="O70" s="10"/>
    </row>
    <row r="71" spans="1:15" ht="15.75">
      <c r="A71" s="103"/>
      <c r="B71" s="104"/>
      <c r="C71" s="32"/>
      <c r="D71" s="31"/>
      <c r="E71" s="31"/>
      <c r="F71" s="31"/>
      <c r="N71" s="10"/>
      <c r="O71" s="10"/>
    </row>
    <row r="72" spans="1:15" ht="15.75">
      <c r="A72" s="103"/>
      <c r="B72" s="104"/>
      <c r="C72" s="32"/>
      <c r="D72" s="31"/>
      <c r="E72" s="31"/>
      <c r="F72" s="31"/>
      <c r="N72" s="10"/>
      <c r="O72" s="10"/>
    </row>
    <row r="73" spans="1:15" ht="15.75">
      <c r="A73" s="103"/>
      <c r="B73" s="104"/>
      <c r="C73" s="32"/>
      <c r="D73" s="31"/>
      <c r="E73" s="31"/>
      <c r="F73" s="31"/>
      <c r="N73" s="10"/>
      <c r="O73" s="10"/>
    </row>
    <row r="74" spans="1:15" ht="15.75">
      <c r="A74" s="103"/>
      <c r="B74" s="104"/>
      <c r="C74" s="32"/>
      <c r="D74" s="31"/>
      <c r="E74" s="31"/>
      <c r="F74" s="31"/>
      <c r="N74" s="10"/>
      <c r="O74" s="10"/>
    </row>
    <row r="75" spans="1:15" ht="15.75">
      <c r="A75" s="103"/>
      <c r="B75" s="104"/>
      <c r="C75" s="32"/>
      <c r="D75" s="31"/>
      <c r="E75" s="31"/>
      <c r="F75" s="31"/>
      <c r="N75" s="10"/>
      <c r="O75" s="10"/>
    </row>
    <row r="76" spans="1:15" ht="15.75">
      <c r="A76" s="103"/>
      <c r="B76" s="104"/>
      <c r="C76" s="32"/>
      <c r="D76" s="31"/>
      <c r="E76" s="31"/>
      <c r="F76" s="31"/>
      <c r="N76" s="10"/>
      <c r="O76" s="10"/>
    </row>
    <row r="77" spans="1:15" ht="15.75">
      <c r="A77" s="103"/>
      <c r="B77" s="104"/>
      <c r="C77" s="32"/>
      <c r="D77" s="31"/>
      <c r="E77" s="31"/>
      <c r="F77" s="31"/>
      <c r="N77" s="10"/>
      <c r="O77" s="10"/>
    </row>
    <row r="78" spans="1:15" ht="15.75">
      <c r="A78" s="103"/>
      <c r="B78" s="104"/>
      <c r="C78" s="32"/>
      <c r="D78" s="31"/>
      <c r="E78" s="31"/>
      <c r="F78" s="31"/>
      <c r="N78" s="10"/>
      <c r="O78" s="10"/>
    </row>
    <row r="79" spans="1:15" ht="15.75">
      <c r="A79" s="103"/>
      <c r="B79" s="104"/>
      <c r="C79" s="32"/>
      <c r="D79" s="31"/>
      <c r="E79" s="31"/>
      <c r="F79" s="31"/>
      <c r="N79" s="10"/>
      <c r="O79" s="10"/>
    </row>
    <row r="80" spans="1:15" ht="15.75">
      <c r="A80" s="103"/>
      <c r="B80" s="104"/>
      <c r="C80" s="32"/>
      <c r="D80" s="31"/>
      <c r="E80" s="31"/>
      <c r="F80" s="31"/>
      <c r="N80" s="10"/>
      <c r="O80" s="10"/>
    </row>
    <row r="81" spans="1:15" ht="15.75">
      <c r="A81" s="103"/>
      <c r="B81" s="104"/>
      <c r="C81" s="32"/>
      <c r="D81" s="31"/>
      <c r="E81" s="31"/>
      <c r="F81" s="31"/>
      <c r="N81" s="10"/>
      <c r="O81" s="10"/>
    </row>
    <row r="82" spans="1:15" ht="15.75">
      <c r="A82" s="103"/>
      <c r="B82" s="104"/>
      <c r="C82" s="32"/>
      <c r="D82" s="31"/>
      <c r="E82" s="31"/>
      <c r="F82" s="31"/>
      <c r="N82" s="10"/>
      <c r="O82" s="10"/>
    </row>
    <row r="83" spans="1:15" ht="15.75">
      <c r="A83" s="103"/>
      <c r="B83" s="104"/>
      <c r="C83" s="32"/>
      <c r="D83" s="31"/>
      <c r="E83" s="31"/>
      <c r="F83" s="31"/>
      <c r="N83" s="10"/>
      <c r="O83" s="10"/>
    </row>
    <row r="84" spans="1:15" ht="15.75">
      <c r="A84" s="103"/>
      <c r="B84" s="104"/>
      <c r="C84" s="32"/>
      <c r="D84" s="31"/>
      <c r="E84" s="31"/>
      <c r="F84" s="31"/>
      <c r="N84" s="10"/>
      <c r="O84" s="10"/>
    </row>
    <row r="85" spans="1:15" ht="15.75">
      <c r="A85" s="103"/>
      <c r="B85" s="104"/>
      <c r="C85" s="32"/>
      <c r="D85" s="31"/>
      <c r="E85" s="31"/>
      <c r="F85" s="31"/>
      <c r="N85" s="10"/>
      <c r="O85" s="10"/>
    </row>
    <row r="86" spans="1:15" ht="15.75">
      <c r="A86" s="103"/>
      <c r="B86" s="104"/>
      <c r="C86" s="32"/>
      <c r="D86" s="31"/>
      <c r="E86" s="31"/>
      <c r="F86" s="31"/>
      <c r="N86" s="10"/>
      <c r="O86" s="10"/>
    </row>
    <row r="87" spans="1:15" ht="15.75">
      <c r="A87" s="103"/>
      <c r="B87" s="104"/>
      <c r="C87" s="32"/>
      <c r="D87" s="31"/>
      <c r="E87" s="31"/>
      <c r="F87" s="31"/>
      <c r="N87" s="10"/>
      <c r="O87" s="10"/>
    </row>
    <row r="88" spans="1:15" ht="15.75">
      <c r="A88" s="103"/>
      <c r="B88" s="104"/>
      <c r="C88" s="32"/>
      <c r="D88" s="31"/>
      <c r="E88" s="31"/>
      <c r="F88" s="31"/>
      <c r="N88" s="10"/>
      <c r="O88" s="10"/>
    </row>
    <row r="89" spans="1:15" ht="15.75">
      <c r="A89" s="103"/>
      <c r="B89" s="104"/>
      <c r="C89" s="32"/>
      <c r="D89" s="31"/>
      <c r="E89" s="31"/>
      <c r="F89" s="31"/>
      <c r="N89" s="10"/>
      <c r="O89" s="10"/>
    </row>
    <row r="90" spans="1:15" ht="15.75">
      <c r="A90" s="103"/>
      <c r="B90" s="104"/>
      <c r="C90" s="32"/>
      <c r="D90" s="31"/>
      <c r="E90" s="31"/>
      <c r="F90" s="31"/>
      <c r="N90" s="10"/>
      <c r="O90" s="10"/>
    </row>
    <row r="91" spans="1:15" ht="15.75">
      <c r="A91" s="103"/>
      <c r="B91" s="104"/>
      <c r="C91" s="32"/>
      <c r="D91" s="31"/>
      <c r="E91" s="31"/>
      <c r="F91" s="31"/>
      <c r="N91" s="10"/>
      <c r="O91" s="10"/>
    </row>
    <row r="92" spans="1:15" ht="15.75">
      <c r="A92" s="103"/>
      <c r="B92" s="104"/>
      <c r="C92" s="32"/>
      <c r="D92" s="31"/>
      <c r="E92" s="31"/>
      <c r="F92" s="31"/>
      <c r="N92" s="10"/>
      <c r="O92" s="10"/>
    </row>
    <row r="93" spans="1:15" ht="15.75">
      <c r="A93" s="103"/>
      <c r="B93" s="104"/>
      <c r="C93" s="32"/>
      <c r="D93" s="31"/>
      <c r="E93" s="31"/>
      <c r="F93" s="31"/>
      <c r="N93" s="10"/>
      <c r="O93" s="10"/>
    </row>
    <row r="94" spans="1:15" ht="15.75">
      <c r="A94" s="103"/>
      <c r="B94" s="104"/>
      <c r="C94" s="32"/>
      <c r="D94" s="31"/>
      <c r="E94" s="31"/>
      <c r="F94" s="31"/>
      <c r="N94" s="10"/>
      <c r="O94" s="10"/>
    </row>
    <row r="95" spans="1:15" ht="15.75">
      <c r="A95" s="103"/>
      <c r="B95" s="104"/>
      <c r="C95" s="32"/>
      <c r="D95" s="31"/>
      <c r="E95" s="31"/>
      <c r="F95" s="31"/>
      <c r="N95" s="10"/>
      <c r="O95" s="10"/>
    </row>
    <row r="96" spans="1:15" ht="15.75">
      <c r="A96" s="103"/>
      <c r="B96" s="104"/>
      <c r="C96" s="32"/>
      <c r="D96" s="31"/>
      <c r="E96" s="31"/>
      <c r="F96" s="31"/>
      <c r="N96" s="10"/>
      <c r="O96" s="10"/>
    </row>
    <row r="97" spans="1:15" ht="15.75">
      <c r="A97" s="103"/>
      <c r="B97" s="104"/>
      <c r="C97" s="32"/>
      <c r="D97" s="31"/>
      <c r="E97" s="31"/>
      <c r="F97" s="31"/>
      <c r="N97" s="10"/>
      <c r="O97" s="10"/>
    </row>
    <row r="98" spans="1:14" ht="15.75">
      <c r="A98" s="103"/>
      <c r="B98" s="104"/>
      <c r="C98" s="32"/>
      <c r="D98" s="31"/>
      <c r="E98" s="31"/>
      <c r="F98" s="31"/>
      <c r="N98" s="10"/>
    </row>
    <row r="99" spans="1:14" ht="15.75">
      <c r="A99" s="103"/>
      <c r="B99" s="104"/>
      <c r="C99" s="32"/>
      <c r="D99" s="31"/>
      <c r="E99" s="31"/>
      <c r="F99" s="31"/>
      <c r="N99" s="10"/>
    </row>
    <row r="100" spans="1:14" ht="15.75">
      <c r="A100" s="103"/>
      <c r="B100" s="104"/>
      <c r="C100" s="32"/>
      <c r="D100" s="31"/>
      <c r="E100" s="31"/>
      <c r="F100" s="31"/>
      <c r="N100" s="10"/>
    </row>
    <row r="101" spans="1:14" ht="15.75">
      <c r="A101" s="103"/>
      <c r="B101" s="104"/>
      <c r="C101" s="32"/>
      <c r="D101" s="31"/>
      <c r="E101" s="31"/>
      <c r="F101" s="31"/>
      <c r="N101" s="10"/>
    </row>
    <row r="102" spans="1:14" ht="15.75">
      <c r="A102" s="103"/>
      <c r="B102" s="104"/>
      <c r="C102" s="32"/>
      <c r="D102" s="31"/>
      <c r="E102" s="31"/>
      <c r="F102" s="31"/>
      <c r="N102" s="10"/>
    </row>
    <row r="103" spans="1:14" ht="15.75">
      <c r="A103" s="103"/>
      <c r="B103" s="104"/>
      <c r="C103" s="32"/>
      <c r="D103" s="31"/>
      <c r="E103" s="31"/>
      <c r="F103" s="31"/>
      <c r="N103" s="10"/>
    </row>
    <row r="104" spans="1:14" ht="15.75">
      <c r="A104" s="103"/>
      <c r="B104" s="104"/>
      <c r="C104" s="32"/>
      <c r="D104" s="31"/>
      <c r="E104" s="31"/>
      <c r="F104" s="31"/>
      <c r="N104" s="10"/>
    </row>
    <row r="105" spans="1:14" ht="15.75">
      <c r="A105" s="103"/>
      <c r="B105" s="104"/>
      <c r="C105" s="32"/>
      <c r="D105" s="31"/>
      <c r="E105" s="31"/>
      <c r="F105" s="31"/>
      <c r="N105" s="10"/>
    </row>
    <row r="106" spans="1:14" ht="15.75">
      <c r="A106" s="103"/>
      <c r="B106" s="104"/>
      <c r="C106" s="32"/>
      <c r="D106" s="31"/>
      <c r="E106" s="31"/>
      <c r="F106" s="31"/>
      <c r="N106" s="10"/>
    </row>
    <row r="107" spans="1:14" ht="15.75">
      <c r="A107" s="103"/>
      <c r="B107" s="104"/>
      <c r="C107" s="32"/>
      <c r="D107" s="31"/>
      <c r="E107" s="31"/>
      <c r="F107" s="31"/>
      <c r="N107" s="10"/>
    </row>
    <row r="108" spans="1:14" ht="15.75">
      <c r="A108" s="103"/>
      <c r="B108" s="104"/>
      <c r="C108" s="32"/>
      <c r="D108" s="31"/>
      <c r="E108" s="31"/>
      <c r="F108" s="31"/>
      <c r="N108" s="10"/>
    </row>
    <row r="109" spans="1:14" ht="15.75">
      <c r="A109" s="103"/>
      <c r="B109" s="104"/>
      <c r="C109" s="32"/>
      <c r="D109" s="31"/>
      <c r="E109" s="31"/>
      <c r="F109" s="31"/>
      <c r="N109" s="10"/>
    </row>
    <row r="110" spans="1:14" ht="15.75">
      <c r="A110" s="103"/>
      <c r="B110" s="104"/>
      <c r="C110" s="32"/>
      <c r="D110" s="31"/>
      <c r="E110" s="31"/>
      <c r="F110" s="31"/>
      <c r="N110" s="10"/>
    </row>
    <row r="111" spans="1:14" ht="15.75">
      <c r="A111" s="103"/>
      <c r="B111" s="104"/>
      <c r="C111" s="32"/>
      <c r="D111" s="31"/>
      <c r="E111" s="31"/>
      <c r="F111" s="31"/>
      <c r="N111" s="10"/>
    </row>
    <row r="112" spans="1:14" ht="15.75">
      <c r="A112" s="103"/>
      <c r="B112" s="104"/>
      <c r="C112" s="32"/>
      <c r="D112" s="31"/>
      <c r="E112" s="31"/>
      <c r="F112" s="31"/>
      <c r="N112" s="10"/>
    </row>
    <row r="113" spans="1:14" ht="15.75">
      <c r="A113" s="103"/>
      <c r="B113" s="104"/>
      <c r="C113" s="32"/>
      <c r="D113" s="31"/>
      <c r="E113" s="31"/>
      <c r="F113" s="31"/>
      <c r="N113" s="10"/>
    </row>
    <row r="114" spans="1:14" ht="15.75">
      <c r="A114" s="103"/>
      <c r="B114" s="104"/>
      <c r="C114" s="32"/>
      <c r="D114" s="31"/>
      <c r="E114" s="31"/>
      <c r="F114" s="31"/>
      <c r="N114" s="10"/>
    </row>
    <row r="115" spans="1:14" ht="15.75">
      <c r="A115" s="103"/>
      <c r="B115" s="104"/>
      <c r="C115" s="32"/>
      <c r="D115" s="31"/>
      <c r="E115" s="31"/>
      <c r="F115" s="31"/>
      <c r="N115" s="10"/>
    </row>
    <row r="116" spans="1:14" ht="15.75">
      <c r="A116" s="103"/>
      <c r="B116" s="104"/>
      <c r="C116" s="32"/>
      <c r="D116" s="31"/>
      <c r="E116" s="31"/>
      <c r="F116" s="31"/>
      <c r="N116" s="10"/>
    </row>
    <row r="117" spans="1:14" ht="15.75">
      <c r="A117" s="103"/>
      <c r="B117" s="104"/>
      <c r="C117" s="32"/>
      <c r="D117" s="31"/>
      <c r="E117" s="31"/>
      <c r="F117" s="31"/>
      <c r="N117" s="10"/>
    </row>
    <row r="118" spans="1:14" ht="15.75">
      <c r="A118" s="31"/>
      <c r="B118" s="91"/>
      <c r="C118" s="32"/>
      <c r="D118" s="31"/>
      <c r="E118" s="31"/>
      <c r="F118" s="31"/>
      <c r="N118" s="10"/>
    </row>
    <row r="119" spans="1:14" ht="15.75">
      <c r="A119" s="31"/>
      <c r="B119" s="91"/>
      <c r="C119" s="32"/>
      <c r="D119" s="31"/>
      <c r="E119" s="31"/>
      <c r="F119" s="31"/>
      <c r="N119" s="10"/>
    </row>
    <row r="120" spans="1:14" ht="15.75">
      <c r="A120" s="31"/>
      <c r="B120" s="91"/>
      <c r="C120" s="32"/>
      <c r="D120" s="31"/>
      <c r="E120" s="31"/>
      <c r="F120" s="31"/>
      <c r="N120" s="10"/>
    </row>
    <row r="121" spans="1:14" ht="15.75">
      <c r="A121" s="31"/>
      <c r="B121" s="91"/>
      <c r="C121" s="32"/>
      <c r="D121" s="31"/>
      <c r="E121" s="31"/>
      <c r="F121" s="31"/>
      <c r="N121" s="10"/>
    </row>
    <row r="122" spans="1:14" ht="15.75">
      <c r="A122" s="31"/>
      <c r="B122" s="91"/>
      <c r="C122" s="32"/>
      <c r="D122" s="31"/>
      <c r="E122" s="31"/>
      <c r="F122" s="31"/>
      <c r="N122" s="10"/>
    </row>
    <row r="123" spans="1:14" ht="15.75">
      <c r="A123" s="31"/>
      <c r="B123" s="91"/>
      <c r="C123" s="32"/>
      <c r="D123" s="31"/>
      <c r="E123" s="31"/>
      <c r="F123" s="31"/>
      <c r="N123" s="10"/>
    </row>
    <row r="124" spans="1:14" ht="15.75">
      <c r="A124" s="31"/>
      <c r="B124" s="91"/>
      <c r="C124" s="32"/>
      <c r="D124" s="31"/>
      <c r="E124" s="31"/>
      <c r="F124" s="31"/>
      <c r="N124" s="10"/>
    </row>
    <row r="125" spans="1:14" ht="15.75">
      <c r="A125" s="31"/>
      <c r="B125" s="91"/>
      <c r="C125" s="32"/>
      <c r="D125" s="31"/>
      <c r="E125" s="31"/>
      <c r="F125" s="31"/>
      <c r="N125" s="10"/>
    </row>
    <row r="126" spans="1:14" ht="15.75">
      <c r="A126" s="31"/>
      <c r="B126" s="91"/>
      <c r="C126" s="32"/>
      <c r="D126" s="31"/>
      <c r="E126" s="31"/>
      <c r="F126" s="31"/>
      <c r="N126" s="10"/>
    </row>
    <row r="127" spans="1:14" ht="15.75">
      <c r="A127" s="31"/>
      <c r="B127" s="91"/>
      <c r="C127" s="32"/>
      <c r="D127" s="31"/>
      <c r="E127" s="31"/>
      <c r="F127" s="31"/>
      <c r="N127" s="10"/>
    </row>
    <row r="128" spans="1:14" ht="15.75">
      <c r="A128" s="31"/>
      <c r="B128" s="91"/>
      <c r="C128" s="32"/>
      <c r="D128" s="31"/>
      <c r="E128" s="31"/>
      <c r="F128" s="31"/>
      <c r="N128" s="10"/>
    </row>
    <row r="129" spans="1:14" ht="15.75">
      <c r="A129" s="31"/>
      <c r="B129" s="91"/>
      <c r="C129" s="32"/>
      <c r="D129" s="31"/>
      <c r="E129" s="31"/>
      <c r="F129" s="31"/>
      <c r="N129" s="10"/>
    </row>
    <row r="130" spans="1:14" ht="15.75">
      <c r="A130" s="31"/>
      <c r="B130" s="91"/>
      <c r="C130" s="32"/>
      <c r="D130" s="31"/>
      <c r="E130" s="31"/>
      <c r="F130" s="31"/>
      <c r="N130" s="10"/>
    </row>
    <row r="131" spans="1:14" ht="15.75">
      <c r="A131" s="31"/>
      <c r="B131" s="91"/>
      <c r="C131" s="32"/>
      <c r="D131" s="31"/>
      <c r="E131" s="31"/>
      <c r="F131" s="31"/>
      <c r="N131" s="10"/>
    </row>
    <row r="132" spans="1:14" ht="15.75">
      <c r="A132" s="31"/>
      <c r="B132" s="91"/>
      <c r="C132" s="32"/>
      <c r="D132" s="31"/>
      <c r="E132" s="31"/>
      <c r="F132" s="31"/>
      <c r="N132" s="10"/>
    </row>
    <row r="133" spans="1:14" ht="15.75">
      <c r="A133" s="31"/>
      <c r="B133" s="91"/>
      <c r="C133" s="32"/>
      <c r="D133" s="31"/>
      <c r="E133" s="31"/>
      <c r="F133" s="31"/>
      <c r="N133" s="10"/>
    </row>
    <row r="134" spans="1:14" ht="15.75">
      <c r="A134" s="31"/>
      <c r="B134" s="91"/>
      <c r="C134" s="32"/>
      <c r="D134" s="31"/>
      <c r="E134" s="31"/>
      <c r="F134" s="31"/>
      <c r="N134" s="10"/>
    </row>
    <row r="135" spans="1:14" ht="15.75">
      <c r="A135" s="31"/>
      <c r="B135" s="91"/>
      <c r="C135" s="32"/>
      <c r="D135" s="31"/>
      <c r="E135" s="31"/>
      <c r="F135" s="31"/>
      <c r="N135" s="10"/>
    </row>
    <row r="136" spans="1:14" ht="15.75">
      <c r="A136" s="31"/>
      <c r="B136" s="91"/>
      <c r="C136" s="32"/>
      <c r="D136" s="31"/>
      <c r="E136" s="31"/>
      <c r="F136" s="31"/>
      <c r="N136" s="10"/>
    </row>
    <row r="137" spans="1:14" ht="15.75">
      <c r="A137" s="31"/>
      <c r="B137" s="91"/>
      <c r="C137" s="32"/>
      <c r="D137" s="31"/>
      <c r="E137" s="31"/>
      <c r="F137" s="31"/>
      <c r="N137" s="10"/>
    </row>
    <row r="138" spans="1:14" ht="15.75">
      <c r="A138" s="31"/>
      <c r="B138" s="91"/>
      <c r="C138" s="32"/>
      <c r="D138" s="31"/>
      <c r="E138" s="31"/>
      <c r="F138" s="31"/>
      <c r="N138" s="10"/>
    </row>
    <row r="139" spans="1:14" ht="15.75">
      <c r="A139" s="31"/>
      <c r="B139" s="91"/>
      <c r="C139" s="32"/>
      <c r="D139" s="31"/>
      <c r="E139" s="31"/>
      <c r="F139" s="31"/>
      <c r="N139" s="10"/>
    </row>
    <row r="140" spans="1:14" ht="15.75">
      <c r="A140" s="31"/>
      <c r="B140" s="91"/>
      <c r="C140" s="32"/>
      <c r="D140" s="31"/>
      <c r="E140" s="31"/>
      <c r="F140" s="31"/>
      <c r="N140" s="10"/>
    </row>
    <row r="141" spans="1:14" ht="15.75">
      <c r="A141" s="31"/>
      <c r="B141" s="91"/>
      <c r="C141" s="32"/>
      <c r="D141" s="31"/>
      <c r="E141" s="31"/>
      <c r="F141" s="31"/>
      <c r="N141" s="10"/>
    </row>
    <row r="142" spans="1:14" ht="15.75">
      <c r="A142" s="31"/>
      <c r="B142" s="91"/>
      <c r="C142" s="32"/>
      <c r="D142" s="31"/>
      <c r="E142" s="31"/>
      <c r="F142" s="31"/>
      <c r="N142" s="10"/>
    </row>
    <row r="143" spans="1:14" ht="15.75">
      <c r="A143" s="31"/>
      <c r="B143" s="91"/>
      <c r="C143" s="32"/>
      <c r="D143" s="31"/>
      <c r="E143" s="31"/>
      <c r="F143" s="31"/>
      <c r="N143" s="10"/>
    </row>
    <row r="144" spans="1:14" ht="15.75">
      <c r="A144" s="31"/>
      <c r="B144" s="91"/>
      <c r="C144" s="32"/>
      <c r="D144" s="31"/>
      <c r="E144" s="31"/>
      <c r="F144" s="31"/>
      <c r="N144" s="10"/>
    </row>
    <row r="145" spans="1:14" ht="15.75">
      <c r="A145" s="31"/>
      <c r="B145" s="91"/>
      <c r="C145" s="32"/>
      <c r="D145" s="31"/>
      <c r="E145" s="31"/>
      <c r="F145" s="31"/>
      <c r="N145" s="10"/>
    </row>
    <row r="146" spans="1:14" ht="15.75">
      <c r="A146" s="31"/>
      <c r="B146" s="91"/>
      <c r="C146" s="32"/>
      <c r="D146" s="31"/>
      <c r="E146" s="31"/>
      <c r="F146" s="31"/>
      <c r="N146" s="10"/>
    </row>
    <row r="147" spans="1:14" ht="15.75">
      <c r="A147" s="31"/>
      <c r="B147" s="91"/>
      <c r="C147" s="32"/>
      <c r="D147" s="31"/>
      <c r="E147" s="31"/>
      <c r="F147" s="31"/>
      <c r="N147" s="10"/>
    </row>
    <row r="148" spans="1:14" ht="15.75">
      <c r="A148" s="31"/>
      <c r="B148" s="91"/>
      <c r="C148" s="32"/>
      <c r="D148" s="31"/>
      <c r="E148" s="31"/>
      <c r="F148" s="31"/>
      <c r="N148" s="10"/>
    </row>
    <row r="149" spans="1:14" ht="15.75">
      <c r="A149" s="31"/>
      <c r="B149" s="91"/>
      <c r="C149" s="32"/>
      <c r="D149" s="31"/>
      <c r="E149" s="31"/>
      <c r="F149" s="31"/>
      <c r="N149" s="10"/>
    </row>
    <row r="150" spans="1:14" ht="15.75">
      <c r="A150" s="31"/>
      <c r="B150" s="91"/>
      <c r="C150" s="32"/>
      <c r="D150" s="31"/>
      <c r="E150" s="31"/>
      <c r="F150" s="31"/>
      <c r="N150" s="10"/>
    </row>
    <row r="151" spans="1:6" ht="15.75">
      <c r="A151" s="31"/>
      <c r="B151" s="91"/>
      <c r="C151" s="32"/>
      <c r="D151" s="31"/>
      <c r="E151" s="31"/>
      <c r="F151" s="31"/>
    </row>
    <row r="152" spans="1:6" ht="15.75">
      <c r="A152" s="31"/>
      <c r="B152" s="91"/>
      <c r="C152" s="32"/>
      <c r="D152" s="31"/>
      <c r="E152" s="31"/>
      <c r="F152" s="31"/>
    </row>
    <row r="153" spans="1:6" ht="15.75">
      <c r="A153" s="31"/>
      <c r="B153" s="91"/>
      <c r="C153" s="32"/>
      <c r="D153" s="31"/>
      <c r="E153" s="31"/>
      <c r="F153" s="31"/>
    </row>
    <row r="154" spans="1:6" ht="15.75">
      <c r="A154" s="31"/>
      <c r="B154" s="91"/>
      <c r="C154" s="32"/>
      <c r="D154" s="31"/>
      <c r="E154" s="31"/>
      <c r="F154" s="31"/>
    </row>
    <row r="155" spans="1:6" ht="15.75">
      <c r="A155" s="31"/>
      <c r="B155" s="91"/>
      <c r="C155" s="32"/>
      <c r="D155" s="31"/>
      <c r="E155" s="31"/>
      <c r="F155" s="31"/>
    </row>
    <row r="156" spans="1:6" ht="15.75">
      <c r="A156" s="31"/>
      <c r="B156" s="91"/>
      <c r="C156" s="32"/>
      <c r="D156" s="31"/>
      <c r="E156" s="31"/>
      <c r="F156" s="31"/>
    </row>
    <row r="157" spans="1:6" ht="15.75">
      <c r="A157" s="31"/>
      <c r="B157" s="91"/>
      <c r="C157" s="32"/>
      <c r="D157" s="31"/>
      <c r="E157" s="31"/>
      <c r="F157" s="31"/>
    </row>
    <row r="158" spans="1:6" ht="15.75">
      <c r="A158" s="31"/>
      <c r="B158" s="91"/>
      <c r="C158" s="32"/>
      <c r="D158" s="31"/>
      <c r="E158" s="31"/>
      <c r="F158" s="31"/>
    </row>
    <row r="159" spans="1:6" ht="15.75">
      <c r="A159" s="31"/>
      <c r="B159" s="91"/>
      <c r="C159" s="32"/>
      <c r="D159" s="31"/>
      <c r="E159" s="31"/>
      <c r="F159" s="31"/>
    </row>
    <row r="160" spans="1:6" ht="15.75">
      <c r="A160" s="31"/>
      <c r="B160" s="91"/>
      <c r="C160" s="32"/>
      <c r="D160" s="31"/>
      <c r="E160" s="31"/>
      <c r="F160" s="31"/>
    </row>
    <row r="161" spans="1:6" ht="15.75">
      <c r="A161" s="31"/>
      <c r="B161" s="91"/>
      <c r="C161" s="32"/>
      <c r="D161" s="31"/>
      <c r="E161" s="31"/>
      <c r="F161" s="31"/>
    </row>
    <row r="162" spans="1:6" ht="15.75">
      <c r="A162" s="31"/>
      <c r="B162" s="91"/>
      <c r="C162" s="32"/>
      <c r="D162" s="31"/>
      <c r="E162" s="31"/>
      <c r="F162" s="31"/>
    </row>
    <row r="163" spans="1:6" ht="15.75">
      <c r="A163" s="31"/>
      <c r="B163" s="91"/>
      <c r="C163" s="32"/>
      <c r="D163" s="31"/>
      <c r="E163" s="31"/>
      <c r="F163" s="31"/>
    </row>
    <row r="164" spans="1:6" ht="15.75">
      <c r="A164" s="31"/>
      <c r="B164" s="91"/>
      <c r="C164" s="32"/>
      <c r="D164" s="31"/>
      <c r="E164" s="31"/>
      <c r="F164" s="31"/>
    </row>
    <row r="165" spans="1:6" ht="15.75">
      <c r="A165" s="31"/>
      <c r="B165" s="91"/>
      <c r="C165" s="32"/>
      <c r="D165" s="31"/>
      <c r="E165" s="31"/>
      <c r="F165" s="31"/>
    </row>
    <row r="166" spans="1:6" ht="15.75">
      <c r="A166" s="31"/>
      <c r="B166" s="91"/>
      <c r="C166" s="32"/>
      <c r="D166" s="31"/>
      <c r="E166" s="31"/>
      <c r="F166" s="31"/>
    </row>
    <row r="167" spans="1:6" ht="15.75">
      <c r="A167" s="31"/>
      <c r="B167" s="91"/>
      <c r="C167" s="32"/>
      <c r="D167" s="31"/>
      <c r="E167" s="31"/>
      <c r="F167" s="31"/>
    </row>
    <row r="168" spans="1:6" ht="15.75">
      <c r="A168" s="31"/>
      <c r="B168" s="91"/>
      <c r="C168" s="32"/>
      <c r="D168" s="31"/>
      <c r="E168" s="31"/>
      <c r="F168" s="31"/>
    </row>
    <row r="169" spans="1:6" ht="15.75">
      <c r="A169" s="31"/>
      <c r="B169" s="91"/>
      <c r="C169" s="32"/>
      <c r="D169" s="31"/>
      <c r="E169" s="31"/>
      <c r="F169" s="31"/>
    </row>
    <row r="170" spans="1:6" ht="15.75">
      <c r="A170" s="31"/>
      <c r="B170" s="91"/>
      <c r="C170" s="32"/>
      <c r="D170" s="31"/>
      <c r="E170" s="31"/>
      <c r="F170" s="31"/>
    </row>
    <row r="171" spans="1:6" ht="15.75">
      <c r="A171" s="31"/>
      <c r="B171" s="91"/>
      <c r="C171" s="32"/>
      <c r="D171" s="31"/>
      <c r="E171" s="31"/>
      <c r="F171" s="31"/>
    </row>
    <row r="172" spans="1:6" ht="15.75">
      <c r="A172" s="31"/>
      <c r="B172" s="91"/>
      <c r="C172" s="32"/>
      <c r="D172" s="31"/>
      <c r="E172" s="31"/>
      <c r="F172" s="31"/>
    </row>
    <row r="173" spans="1:6" ht="15.75">
      <c r="A173" s="31"/>
      <c r="B173" s="91"/>
      <c r="C173" s="32"/>
      <c r="D173" s="31"/>
      <c r="E173" s="31"/>
      <c r="F173" s="31"/>
    </row>
    <row r="174" spans="1:6" ht="15.75">
      <c r="A174" s="31"/>
      <c r="B174" s="91"/>
      <c r="C174" s="32"/>
      <c r="D174" s="31"/>
      <c r="E174" s="31"/>
      <c r="F174" s="31"/>
    </row>
    <row r="175" spans="1:6" ht="15.75">
      <c r="A175" s="31"/>
      <c r="B175" s="91"/>
      <c r="C175" s="32"/>
      <c r="D175" s="31"/>
      <c r="E175" s="31"/>
      <c r="F175" s="31"/>
    </row>
    <row r="176" spans="1:6" ht="15.75">
      <c r="A176" s="31"/>
      <c r="B176" s="91"/>
      <c r="C176" s="32"/>
      <c r="D176" s="31"/>
      <c r="E176" s="31"/>
      <c r="F176" s="31"/>
    </row>
    <row r="177" spans="1:6" ht="15.75">
      <c r="A177" s="31"/>
      <c r="B177" s="91"/>
      <c r="C177" s="32"/>
      <c r="D177" s="31"/>
      <c r="E177" s="31"/>
      <c r="F177" s="31"/>
    </row>
    <row r="178" spans="1:6" ht="15.75">
      <c r="A178" s="31"/>
      <c r="B178" s="91"/>
      <c r="C178" s="32"/>
      <c r="D178" s="31"/>
      <c r="E178" s="31"/>
      <c r="F178" s="31"/>
    </row>
  </sheetData>
  <sheetProtection/>
  <mergeCells count="15">
    <mergeCell ref="A11:F11"/>
    <mergeCell ref="B6:F6"/>
    <mergeCell ref="A8:A10"/>
    <mergeCell ref="B8:B10"/>
    <mergeCell ref="C8:C10"/>
    <mergeCell ref="D8:D10"/>
    <mergeCell ref="E8:E10"/>
    <mergeCell ref="F8:F10"/>
    <mergeCell ref="A16:F16"/>
    <mergeCell ref="A41:F41"/>
    <mergeCell ref="A37:A38"/>
    <mergeCell ref="B37:B38"/>
    <mergeCell ref="C37:C38"/>
    <mergeCell ref="D37:D38"/>
    <mergeCell ref="F37:F38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0" zoomScaleNormal="80" zoomScalePageLayoutView="0" workbookViewId="0" topLeftCell="A1">
      <selection activeCell="A21" sqref="A21"/>
    </sheetView>
  </sheetViews>
  <sheetFormatPr defaultColWidth="9.00390625" defaultRowHeight="12.75"/>
  <cols>
    <col min="1" max="1" width="8.75390625" style="4" customWidth="1"/>
    <col min="2" max="2" width="36.25390625" style="33" customWidth="1"/>
    <col min="3" max="3" width="28.125" style="5" customWidth="1"/>
    <col min="4" max="4" width="16.375" style="5" customWidth="1"/>
    <col min="5" max="5" width="15.375" style="5" customWidth="1"/>
    <col min="6" max="6" width="8.75390625" style="4" customWidth="1"/>
    <col min="7" max="7" width="8.875" style="4" customWidth="1"/>
    <col min="8" max="8" width="8.625" style="4" customWidth="1"/>
    <col min="9" max="9" width="9.25390625" style="4" customWidth="1"/>
    <col min="10" max="10" width="8.875" style="4" customWidth="1"/>
    <col min="11" max="11" width="9.25390625" style="4" customWidth="1"/>
    <col min="12" max="12" width="8.75390625" style="4" customWidth="1"/>
    <col min="13" max="13" width="9.25390625" style="4" customWidth="1"/>
    <col min="14" max="14" width="8.75390625" style="4" customWidth="1"/>
    <col min="15" max="15" width="9.25390625" style="4" customWidth="1"/>
    <col min="16" max="16" width="8.75390625" style="4" customWidth="1"/>
    <col min="17" max="17" width="9.25390625" style="4" customWidth="1"/>
    <col min="18" max="18" width="8.875" style="4" customWidth="1"/>
    <col min="19" max="19" width="9.75390625" style="4" customWidth="1"/>
    <col min="20" max="20" width="8.75390625" style="4" customWidth="1"/>
    <col min="21" max="21" width="8.625" style="4" customWidth="1"/>
    <col min="22" max="22" width="31.875" style="4" customWidth="1"/>
    <col min="23" max="16384" width="9.125" style="4" customWidth="1"/>
  </cols>
  <sheetData>
    <row r="1" ht="12.75">
      <c r="V1" s="7" t="s">
        <v>251</v>
      </c>
    </row>
    <row r="2" ht="12.75">
      <c r="V2" s="7" t="s">
        <v>49</v>
      </c>
    </row>
    <row r="3" ht="25.5">
      <c r="V3" s="55" t="s">
        <v>216</v>
      </c>
    </row>
    <row r="6" ht="14.25">
      <c r="F6" s="56" t="s">
        <v>217</v>
      </c>
    </row>
    <row r="7" ht="15" customHeight="1">
      <c r="F7" s="57" t="s">
        <v>218</v>
      </c>
    </row>
    <row r="8" ht="15.75" customHeight="1"/>
    <row r="9" spans="1:22" ht="22.5" customHeight="1">
      <c r="A9" s="276" t="s">
        <v>10</v>
      </c>
      <c r="B9" s="308" t="s">
        <v>219</v>
      </c>
      <c r="C9" s="276" t="s">
        <v>220</v>
      </c>
      <c r="D9" s="278" t="s">
        <v>221</v>
      </c>
      <c r="E9" s="278" t="s">
        <v>222</v>
      </c>
      <c r="F9" s="299" t="s">
        <v>223</v>
      </c>
      <c r="G9" s="300"/>
      <c r="H9" s="300"/>
      <c r="I9" s="300"/>
      <c r="J9" s="300"/>
      <c r="K9" s="300"/>
      <c r="L9" s="300"/>
      <c r="M9" s="301"/>
      <c r="N9" s="299" t="s">
        <v>224</v>
      </c>
      <c r="O9" s="300"/>
      <c r="P9" s="300"/>
      <c r="Q9" s="300"/>
      <c r="R9" s="300"/>
      <c r="S9" s="300"/>
      <c r="T9" s="300"/>
      <c r="U9" s="301"/>
      <c r="V9" s="302" t="s">
        <v>225</v>
      </c>
    </row>
    <row r="10" spans="1:22" ht="15">
      <c r="A10" s="277"/>
      <c r="B10" s="309"/>
      <c r="C10" s="277"/>
      <c r="D10" s="310"/>
      <c r="E10" s="310"/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  <c r="M10" s="3" t="s">
        <v>20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02"/>
    </row>
    <row r="11" spans="1:22" ht="15">
      <c r="A11" s="277"/>
      <c r="B11" s="309"/>
      <c r="C11" s="277"/>
      <c r="D11" s="311"/>
      <c r="E11" s="311"/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  <c r="U11" s="3" t="s">
        <v>23</v>
      </c>
      <c r="V11" s="302"/>
    </row>
    <row r="12" spans="1:22" ht="12.75">
      <c r="A12" s="270" t="s">
        <v>43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4"/>
      <c r="V12" s="2"/>
    </row>
    <row r="13" spans="1:22" ht="15" customHeight="1">
      <c r="A13" s="58" t="s">
        <v>30</v>
      </c>
      <c r="B13" s="305" t="s">
        <v>109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7"/>
      <c r="V13" s="59"/>
    </row>
    <row r="14" spans="1:22" ht="174" customHeight="1">
      <c r="A14" s="60" t="s">
        <v>577</v>
      </c>
      <c r="B14" s="61" t="s">
        <v>229</v>
      </c>
      <c r="C14" s="54" t="s">
        <v>230</v>
      </c>
      <c r="D14" s="54" t="s">
        <v>226</v>
      </c>
      <c r="E14" s="54">
        <v>0.55</v>
      </c>
      <c r="F14" s="8">
        <v>300</v>
      </c>
      <c r="G14" s="8">
        <v>300</v>
      </c>
      <c r="H14" s="8">
        <v>300</v>
      </c>
      <c r="I14" s="8">
        <v>300</v>
      </c>
      <c r="J14" s="8">
        <v>300</v>
      </c>
      <c r="K14" s="8">
        <v>300</v>
      </c>
      <c r="L14" s="8">
        <v>300</v>
      </c>
      <c r="M14" s="8">
        <v>300</v>
      </c>
      <c r="N14" s="8">
        <f>E14*F14</f>
        <v>165</v>
      </c>
      <c r="O14" s="8">
        <f>E14*G14</f>
        <v>165</v>
      </c>
      <c r="P14" s="8">
        <f>E14*H14</f>
        <v>165</v>
      </c>
      <c r="Q14" s="8">
        <f>E14*I14</f>
        <v>165</v>
      </c>
      <c r="R14" s="8">
        <f>E14*J14</f>
        <v>165</v>
      </c>
      <c r="S14" s="8">
        <f>E14*K14</f>
        <v>165</v>
      </c>
      <c r="T14" s="8">
        <f>E14*L14</f>
        <v>165</v>
      </c>
      <c r="U14" s="8">
        <f>E14*M14</f>
        <v>165</v>
      </c>
      <c r="V14" s="12" t="s">
        <v>227</v>
      </c>
    </row>
    <row r="15" spans="1:22" ht="114.75" customHeight="1">
      <c r="A15" s="60" t="s">
        <v>228</v>
      </c>
      <c r="B15" s="61" t="s">
        <v>232</v>
      </c>
      <c r="C15" s="62" t="s">
        <v>233</v>
      </c>
      <c r="D15" s="62" t="s">
        <v>234</v>
      </c>
      <c r="E15" s="63">
        <v>5.421</v>
      </c>
      <c r="F15" s="22">
        <v>55</v>
      </c>
      <c r="G15" s="22">
        <v>55</v>
      </c>
      <c r="H15" s="22">
        <v>55</v>
      </c>
      <c r="I15" s="22">
        <v>55</v>
      </c>
      <c r="J15" s="22">
        <v>55</v>
      </c>
      <c r="K15" s="22">
        <v>55</v>
      </c>
      <c r="L15" s="22">
        <v>55</v>
      </c>
      <c r="M15" s="22">
        <v>55</v>
      </c>
      <c r="N15" s="22">
        <f>E15*F15</f>
        <v>298.15500000000003</v>
      </c>
      <c r="O15" s="22">
        <f>E15*G15</f>
        <v>298.15500000000003</v>
      </c>
      <c r="P15" s="22">
        <f>E15*H15</f>
        <v>298.15500000000003</v>
      </c>
      <c r="Q15" s="22">
        <f>E15*I15</f>
        <v>298.15500000000003</v>
      </c>
      <c r="R15" s="22">
        <f>E15*J15</f>
        <v>298.15500000000003</v>
      </c>
      <c r="S15" s="22">
        <f>E15*K15</f>
        <v>298.15500000000003</v>
      </c>
      <c r="T15" s="22">
        <f>E15*L15</f>
        <v>298.15500000000003</v>
      </c>
      <c r="U15" s="22">
        <f>E15*M15</f>
        <v>298.15500000000003</v>
      </c>
      <c r="V15" s="12" t="s">
        <v>227</v>
      </c>
    </row>
    <row r="16" spans="1:22" ht="98.25" customHeight="1">
      <c r="A16" s="60" t="s">
        <v>231</v>
      </c>
      <c r="B16" s="61" t="s">
        <v>236</v>
      </c>
      <c r="C16" s="54" t="s">
        <v>237</v>
      </c>
      <c r="D16" s="54" t="s">
        <v>238</v>
      </c>
      <c r="E16" s="54">
        <v>22.167</v>
      </c>
      <c r="F16" s="8">
        <v>10</v>
      </c>
      <c r="G16" s="8">
        <v>10</v>
      </c>
      <c r="H16" s="8">
        <v>10</v>
      </c>
      <c r="I16" s="8">
        <v>10</v>
      </c>
      <c r="J16" s="8">
        <v>10</v>
      </c>
      <c r="K16" s="8">
        <v>10</v>
      </c>
      <c r="L16" s="8">
        <v>10</v>
      </c>
      <c r="M16" s="8">
        <v>10</v>
      </c>
      <c r="N16" s="8">
        <f>E16*F16</f>
        <v>221.67000000000002</v>
      </c>
      <c r="O16" s="8">
        <f>E16*G16</f>
        <v>221.67000000000002</v>
      </c>
      <c r="P16" s="8">
        <f>E16*H16</f>
        <v>221.67000000000002</v>
      </c>
      <c r="Q16" s="8">
        <f>E16*I16</f>
        <v>221.67000000000002</v>
      </c>
      <c r="R16" s="8">
        <f>E16*J16</f>
        <v>221.67000000000002</v>
      </c>
      <c r="S16" s="8">
        <f>E16*K16</f>
        <v>221.67000000000002</v>
      </c>
      <c r="T16" s="8">
        <f>E16*L16</f>
        <v>221.67000000000002</v>
      </c>
      <c r="U16" s="8">
        <f>E16*M16</f>
        <v>221.67000000000002</v>
      </c>
      <c r="V16" s="12" t="s">
        <v>227</v>
      </c>
    </row>
    <row r="17" spans="1:22" ht="118.5" customHeight="1">
      <c r="A17" s="60" t="s">
        <v>235</v>
      </c>
      <c r="B17" s="61" t="s">
        <v>240</v>
      </c>
      <c r="C17" s="62" t="s">
        <v>241</v>
      </c>
      <c r="D17" s="62" t="s">
        <v>238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12" t="s">
        <v>227</v>
      </c>
    </row>
    <row r="18" spans="1:22" ht="101.25" customHeight="1">
      <c r="A18" s="60" t="s">
        <v>239</v>
      </c>
      <c r="B18" s="61" t="s">
        <v>243</v>
      </c>
      <c r="C18" s="12" t="s">
        <v>244</v>
      </c>
      <c r="D18" s="54" t="s">
        <v>245</v>
      </c>
      <c r="E18" s="64">
        <v>5.063</v>
      </c>
      <c r="F18" s="8">
        <v>52</v>
      </c>
      <c r="G18" s="8">
        <v>52</v>
      </c>
      <c r="H18" s="8">
        <v>52</v>
      </c>
      <c r="I18" s="8">
        <v>52</v>
      </c>
      <c r="J18" s="8">
        <v>52</v>
      </c>
      <c r="K18" s="8">
        <v>52</v>
      </c>
      <c r="L18" s="8">
        <v>52</v>
      </c>
      <c r="M18" s="8">
        <v>52</v>
      </c>
      <c r="N18" s="8">
        <f>E18*F18</f>
        <v>263.276</v>
      </c>
      <c r="O18" s="8">
        <f>E18*G18</f>
        <v>263.276</v>
      </c>
      <c r="P18" s="8">
        <f>E18*H18</f>
        <v>263.276</v>
      </c>
      <c r="Q18" s="8">
        <f>E18*I18</f>
        <v>263.276</v>
      </c>
      <c r="R18" s="8">
        <f>E18*J18</f>
        <v>263.276</v>
      </c>
      <c r="S18" s="8">
        <f>E18*K18</f>
        <v>263.276</v>
      </c>
      <c r="T18" s="8">
        <f>E18*L18</f>
        <v>263.276</v>
      </c>
      <c r="U18" s="8">
        <f>E18*M18</f>
        <v>263.276</v>
      </c>
      <c r="V18" s="12" t="s">
        <v>227</v>
      </c>
    </row>
    <row r="19" spans="1:22" ht="150.75" customHeight="1">
      <c r="A19" s="60" t="s">
        <v>242</v>
      </c>
      <c r="B19" s="61" t="s">
        <v>247</v>
      </c>
      <c r="C19" s="54" t="s">
        <v>248</v>
      </c>
      <c r="D19" s="54" t="s">
        <v>238</v>
      </c>
      <c r="E19" s="64">
        <v>1129.906</v>
      </c>
      <c r="F19" s="8">
        <v>17</v>
      </c>
      <c r="G19" s="8">
        <v>17</v>
      </c>
      <c r="H19" s="8">
        <v>17</v>
      </c>
      <c r="I19" s="8">
        <v>17</v>
      </c>
      <c r="J19" s="8">
        <v>17</v>
      </c>
      <c r="K19" s="8">
        <v>17</v>
      </c>
      <c r="L19" s="8">
        <v>17</v>
      </c>
      <c r="M19" s="8">
        <v>17</v>
      </c>
      <c r="N19" s="8">
        <f>E19*F19</f>
        <v>19208.402</v>
      </c>
      <c r="O19" s="8">
        <f>E19*G19</f>
        <v>19208.402</v>
      </c>
      <c r="P19" s="8">
        <f>E19*H19</f>
        <v>19208.402</v>
      </c>
      <c r="Q19" s="8">
        <f>E19*I19</f>
        <v>19208.402</v>
      </c>
      <c r="R19" s="8">
        <f>E19*J19</f>
        <v>19208.402</v>
      </c>
      <c r="S19" s="8">
        <f>E19*K19</f>
        <v>19208.402</v>
      </c>
      <c r="T19" s="8">
        <f>E19*L19</f>
        <v>19208.402</v>
      </c>
      <c r="U19" s="8">
        <f>E19*M19</f>
        <v>19208.402</v>
      </c>
      <c r="V19" s="12" t="s">
        <v>227</v>
      </c>
    </row>
    <row r="20" spans="1:22" ht="146.25" customHeight="1">
      <c r="A20" s="65" t="s">
        <v>246</v>
      </c>
      <c r="B20" s="66" t="s">
        <v>249</v>
      </c>
      <c r="C20" s="54" t="s">
        <v>250</v>
      </c>
      <c r="D20" s="54" t="s">
        <v>238</v>
      </c>
      <c r="E20" s="64">
        <v>455.126</v>
      </c>
      <c r="F20" s="22">
        <v>60</v>
      </c>
      <c r="G20" s="22">
        <v>60</v>
      </c>
      <c r="H20" s="22">
        <v>60</v>
      </c>
      <c r="I20" s="22">
        <v>60</v>
      </c>
      <c r="J20" s="22">
        <v>60</v>
      </c>
      <c r="K20" s="22">
        <v>60</v>
      </c>
      <c r="L20" s="22">
        <v>60</v>
      </c>
      <c r="M20" s="22">
        <v>60</v>
      </c>
      <c r="N20" s="22">
        <f>E20*F20</f>
        <v>27307.559999999998</v>
      </c>
      <c r="O20" s="22">
        <f>E20*G20</f>
        <v>27307.559999999998</v>
      </c>
      <c r="P20" s="22">
        <f>E20*H20</f>
        <v>27307.559999999998</v>
      </c>
      <c r="Q20" s="22">
        <f>E20*I20</f>
        <v>27307.559999999998</v>
      </c>
      <c r="R20" s="22">
        <f>E20*J20</f>
        <v>27307.559999999998</v>
      </c>
      <c r="S20" s="22">
        <f>E20*K20</f>
        <v>27307.559999999998</v>
      </c>
      <c r="T20" s="22">
        <f>E20*L20</f>
        <v>27307.559999999998</v>
      </c>
      <c r="U20" s="22">
        <f>E20*M20</f>
        <v>27307.559999999998</v>
      </c>
      <c r="V20" s="12" t="s">
        <v>252</v>
      </c>
    </row>
    <row r="22" spans="6:21" ht="12.75"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</sheetData>
  <sheetProtection/>
  <mergeCells count="10">
    <mergeCell ref="N9:U9"/>
    <mergeCell ref="V9:V11"/>
    <mergeCell ref="A12:U12"/>
    <mergeCell ref="B13:U13"/>
    <mergeCell ref="A9:A11"/>
    <mergeCell ref="B9:B11"/>
    <mergeCell ref="C9:C11"/>
    <mergeCell ref="D9:D11"/>
    <mergeCell ref="E9:E11"/>
    <mergeCell ref="F9:M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5"/>
  <sheetViews>
    <sheetView zoomScale="70" zoomScaleNormal="70" zoomScalePageLayoutView="0" workbookViewId="0" topLeftCell="A1">
      <pane xSplit="14" ySplit="11" topLeftCell="R12" activePane="bottomRight" state="frozen"/>
      <selection pane="topLeft" activeCell="A1" sqref="A1"/>
      <selection pane="topRight" activeCell="O1" sqref="O1"/>
      <selection pane="bottomLeft" activeCell="A12" sqref="A12"/>
      <selection pane="bottomRight" activeCell="F22" sqref="F22"/>
    </sheetView>
  </sheetViews>
  <sheetFormatPr defaultColWidth="9.00390625" defaultRowHeight="12.75"/>
  <cols>
    <col min="1" max="1" width="24.00390625" style="10" customWidth="1"/>
    <col min="2" max="2" width="28.00390625" style="33" customWidth="1"/>
    <col min="3" max="3" width="24.00390625" style="33" customWidth="1"/>
    <col min="4" max="4" width="5.375" style="33" customWidth="1"/>
    <col min="5" max="5" width="5.25390625" style="33" customWidth="1"/>
    <col min="6" max="7" width="4.875" style="33" customWidth="1"/>
    <col min="8" max="8" width="7.375" style="33" customWidth="1"/>
    <col min="9" max="9" width="5.375" style="33" customWidth="1"/>
    <col min="10" max="10" width="5.125" style="33" customWidth="1"/>
    <col min="11" max="11" width="13.625" style="33" customWidth="1"/>
    <col min="12" max="12" width="7.00390625" style="33" customWidth="1"/>
    <col min="13" max="13" width="0.12890625" style="10" hidden="1" customWidth="1"/>
    <col min="14" max="14" width="16.25390625" style="10" hidden="1" customWidth="1"/>
    <col min="15" max="15" width="16.875" style="10" customWidth="1"/>
    <col min="16" max="16" width="17.375" style="10" customWidth="1"/>
    <col min="17" max="17" width="18.00390625" style="10" customWidth="1"/>
    <col min="18" max="18" width="16.875" style="10" customWidth="1"/>
    <col min="19" max="19" width="16.25390625" style="10" customWidth="1"/>
    <col min="20" max="20" width="17.625" style="10" customWidth="1"/>
    <col min="21" max="21" width="16.25390625" style="10" customWidth="1"/>
    <col min="22" max="22" width="17.375" style="10" customWidth="1"/>
    <col min="23" max="23" width="20.875" style="10" customWidth="1"/>
    <col min="24" max="16384" width="9.125" style="10" customWidth="1"/>
  </cols>
  <sheetData>
    <row r="1" ht="15.75">
      <c r="V1" s="124" t="s">
        <v>203</v>
      </c>
    </row>
    <row r="2" ht="15.75">
      <c r="V2" s="124" t="s">
        <v>49</v>
      </c>
    </row>
    <row r="3" spans="20:22" ht="12.75" customHeight="1">
      <c r="T3" s="332" t="s">
        <v>116</v>
      </c>
      <c r="U3" s="332"/>
      <c r="V3" s="332"/>
    </row>
    <row r="4" ht="15.75">
      <c r="V4" s="124" t="s">
        <v>51</v>
      </c>
    </row>
    <row r="6" ht="14.25">
      <c r="L6" s="125" t="s">
        <v>117</v>
      </c>
    </row>
    <row r="7" spans="14:23" ht="18.75">
      <c r="N7" s="125" t="s">
        <v>117</v>
      </c>
      <c r="W7" s="126"/>
    </row>
    <row r="8" ht="18.75" customHeight="1">
      <c r="W8" s="127"/>
    </row>
    <row r="9" spans="1:22" s="136" customFormat="1" ht="30" customHeight="1">
      <c r="A9" s="333" t="s">
        <v>118</v>
      </c>
      <c r="B9" s="333" t="s">
        <v>119</v>
      </c>
      <c r="C9" s="333" t="s">
        <v>120</v>
      </c>
      <c r="D9" s="335" t="s">
        <v>121</v>
      </c>
      <c r="E9" s="336"/>
      <c r="F9" s="336"/>
      <c r="G9" s="337"/>
      <c r="H9" s="335" t="s">
        <v>122</v>
      </c>
      <c r="I9" s="336"/>
      <c r="J9" s="336"/>
      <c r="K9" s="336"/>
      <c r="L9" s="337"/>
      <c r="M9" s="333" t="s">
        <v>123</v>
      </c>
      <c r="N9" s="334"/>
      <c r="O9" s="334"/>
      <c r="P9" s="334"/>
      <c r="Q9" s="334"/>
      <c r="R9" s="334"/>
      <c r="S9" s="334"/>
      <c r="T9" s="334"/>
      <c r="U9" s="334"/>
      <c r="V9" s="334"/>
    </row>
    <row r="10" spans="1:22" s="136" customFormat="1" ht="15" customHeight="1">
      <c r="A10" s="334"/>
      <c r="B10" s="334"/>
      <c r="C10" s="334"/>
      <c r="D10" s="323" t="s">
        <v>124</v>
      </c>
      <c r="E10" s="323" t="s">
        <v>125</v>
      </c>
      <c r="F10" s="323" t="s">
        <v>126</v>
      </c>
      <c r="G10" s="323" t="s">
        <v>127</v>
      </c>
      <c r="H10" s="323" t="s">
        <v>128</v>
      </c>
      <c r="I10" s="323" t="s">
        <v>129</v>
      </c>
      <c r="J10" s="323" t="s">
        <v>130</v>
      </c>
      <c r="K10" s="323" t="s">
        <v>131</v>
      </c>
      <c r="L10" s="323" t="s">
        <v>132</v>
      </c>
      <c r="M10" s="17" t="s">
        <v>11</v>
      </c>
      <c r="N10" s="17" t="s">
        <v>12</v>
      </c>
      <c r="O10" s="17" t="s">
        <v>13</v>
      </c>
      <c r="P10" s="17" t="s">
        <v>14</v>
      </c>
      <c r="Q10" s="17" t="s">
        <v>15</v>
      </c>
      <c r="R10" s="17" t="s">
        <v>16</v>
      </c>
      <c r="S10" s="17" t="s">
        <v>17</v>
      </c>
      <c r="T10" s="17" t="s">
        <v>18</v>
      </c>
      <c r="U10" s="17" t="s">
        <v>19</v>
      </c>
      <c r="V10" s="17" t="s">
        <v>20</v>
      </c>
    </row>
    <row r="11" spans="1:22" s="136" customFormat="1" ht="15" customHeight="1">
      <c r="A11" s="334"/>
      <c r="B11" s="334"/>
      <c r="C11" s="334"/>
      <c r="D11" s="324"/>
      <c r="E11" s="324"/>
      <c r="F11" s="324"/>
      <c r="G11" s="324"/>
      <c r="H11" s="324"/>
      <c r="I11" s="324"/>
      <c r="J11" s="324"/>
      <c r="K11" s="324"/>
      <c r="L11" s="324"/>
      <c r="M11" s="17" t="s">
        <v>21</v>
      </c>
      <c r="N11" s="17" t="s">
        <v>22</v>
      </c>
      <c r="O11" s="17" t="s">
        <v>23</v>
      </c>
      <c r="P11" s="17" t="s">
        <v>23</v>
      </c>
      <c r="Q11" s="17" t="s">
        <v>23</v>
      </c>
      <c r="R11" s="17" t="s">
        <v>23</v>
      </c>
      <c r="S11" s="17" t="s">
        <v>23</v>
      </c>
      <c r="T11" s="17" t="s">
        <v>23</v>
      </c>
      <c r="U11" s="17" t="s">
        <v>23</v>
      </c>
      <c r="V11" s="17" t="s">
        <v>23</v>
      </c>
    </row>
    <row r="12" spans="1:23" s="140" customFormat="1" ht="17.25" customHeight="1">
      <c r="A12" s="322" t="s">
        <v>133</v>
      </c>
      <c r="B12" s="325" t="s">
        <v>134</v>
      </c>
      <c r="C12" s="35" t="s">
        <v>135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 t="e">
        <f>SUM(M13:M33)</f>
        <v>#REF!</v>
      </c>
      <c r="N12" s="118" t="e">
        <f aca="true" t="shared" si="0" ref="N12:V12">SUM(N13:N33)</f>
        <v>#REF!</v>
      </c>
      <c r="O12" s="123">
        <f t="shared" si="0"/>
        <v>3165981.6999999997</v>
      </c>
      <c r="P12" s="123">
        <f t="shared" si="0"/>
        <v>967109.6</v>
      </c>
      <c r="Q12" s="123">
        <f t="shared" si="0"/>
        <v>934050.7000000001</v>
      </c>
      <c r="R12" s="123">
        <f t="shared" si="0"/>
        <v>944764.9</v>
      </c>
      <c r="S12" s="123">
        <f t="shared" si="0"/>
        <v>944764.9</v>
      </c>
      <c r="T12" s="123">
        <f t="shared" si="0"/>
        <v>944764.9</v>
      </c>
      <c r="U12" s="123">
        <f t="shared" si="0"/>
        <v>944764.9</v>
      </c>
      <c r="V12" s="123">
        <f t="shared" si="0"/>
        <v>944764.9</v>
      </c>
      <c r="W12" s="36">
        <f>SUM(O12:V12)</f>
        <v>9790966.500000002</v>
      </c>
    </row>
    <row r="13" spans="1:23" ht="88.5" customHeight="1">
      <c r="A13" s="322"/>
      <c r="B13" s="325"/>
      <c r="C13" s="17" t="s">
        <v>136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18" t="e">
        <f aca="true" t="shared" si="1" ref="M13:N19">M104+M250</f>
        <v>#REF!</v>
      </c>
      <c r="N13" s="118" t="e">
        <f t="shared" si="1"/>
        <v>#REF!</v>
      </c>
      <c r="O13" s="123">
        <f aca="true" t="shared" si="2" ref="O13:V13">O104+O250+O86</f>
        <v>5151.2</v>
      </c>
      <c r="P13" s="123">
        <f t="shared" si="2"/>
        <v>5450.200000000001</v>
      </c>
      <c r="Q13" s="123">
        <f t="shared" si="2"/>
        <v>5647.7</v>
      </c>
      <c r="R13" s="123">
        <f t="shared" si="2"/>
        <v>5695</v>
      </c>
      <c r="S13" s="123">
        <f t="shared" si="2"/>
        <v>5695</v>
      </c>
      <c r="T13" s="123">
        <f t="shared" si="2"/>
        <v>5695</v>
      </c>
      <c r="U13" s="123">
        <f t="shared" si="2"/>
        <v>5695</v>
      </c>
      <c r="V13" s="123">
        <f t="shared" si="2"/>
        <v>5695</v>
      </c>
      <c r="W13" s="36">
        <f aca="true" t="shared" si="3" ref="W13:W33">SUM(O13:V13)</f>
        <v>44724.100000000006</v>
      </c>
    </row>
    <row r="14" spans="1:23" ht="45">
      <c r="A14" s="322"/>
      <c r="B14" s="325"/>
      <c r="C14" s="17" t="s">
        <v>137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2" t="e">
        <f t="shared" si="1"/>
        <v>#REF!</v>
      </c>
      <c r="N14" s="142" t="e">
        <f t="shared" si="1"/>
        <v>#REF!</v>
      </c>
      <c r="O14" s="143">
        <f aca="true" t="shared" si="4" ref="O14:V17">O105+O251</f>
        <v>0</v>
      </c>
      <c r="P14" s="143">
        <f t="shared" si="4"/>
        <v>0</v>
      </c>
      <c r="Q14" s="143">
        <f t="shared" si="4"/>
        <v>0</v>
      </c>
      <c r="R14" s="143">
        <f t="shared" si="4"/>
        <v>0</v>
      </c>
      <c r="S14" s="143">
        <f t="shared" si="4"/>
        <v>0</v>
      </c>
      <c r="T14" s="143">
        <f t="shared" si="4"/>
        <v>0</v>
      </c>
      <c r="U14" s="143">
        <f t="shared" si="4"/>
        <v>0</v>
      </c>
      <c r="V14" s="143">
        <f t="shared" si="4"/>
        <v>0</v>
      </c>
      <c r="W14" s="36">
        <f t="shared" si="3"/>
        <v>0</v>
      </c>
    </row>
    <row r="15" spans="1:23" ht="48" customHeight="1">
      <c r="A15" s="322"/>
      <c r="B15" s="325"/>
      <c r="C15" s="17" t="s">
        <v>138</v>
      </c>
      <c r="D15" s="34"/>
      <c r="E15" s="34"/>
      <c r="F15" s="34"/>
      <c r="G15" s="34"/>
      <c r="H15" s="34"/>
      <c r="I15" s="34"/>
      <c r="J15" s="34"/>
      <c r="K15" s="34"/>
      <c r="L15" s="34"/>
      <c r="M15" s="118" t="e">
        <f t="shared" si="1"/>
        <v>#REF!</v>
      </c>
      <c r="N15" s="118" t="e">
        <f t="shared" si="1"/>
        <v>#REF!</v>
      </c>
      <c r="O15" s="123">
        <f t="shared" si="4"/>
        <v>0</v>
      </c>
      <c r="P15" s="123">
        <f t="shared" si="4"/>
        <v>0</v>
      </c>
      <c r="Q15" s="123">
        <f t="shared" si="4"/>
        <v>0</v>
      </c>
      <c r="R15" s="123">
        <f t="shared" si="4"/>
        <v>0</v>
      </c>
      <c r="S15" s="123">
        <f t="shared" si="4"/>
        <v>0</v>
      </c>
      <c r="T15" s="123">
        <f t="shared" si="4"/>
        <v>0</v>
      </c>
      <c r="U15" s="123">
        <f t="shared" si="4"/>
        <v>0</v>
      </c>
      <c r="V15" s="123">
        <f t="shared" si="4"/>
        <v>0</v>
      </c>
      <c r="W15" s="36">
        <f t="shared" si="3"/>
        <v>0</v>
      </c>
    </row>
    <row r="16" spans="1:23" ht="45" customHeight="1">
      <c r="A16" s="322"/>
      <c r="B16" s="325"/>
      <c r="C16" s="17" t="s">
        <v>139</v>
      </c>
      <c r="D16" s="34"/>
      <c r="E16" s="34"/>
      <c r="F16" s="34"/>
      <c r="G16" s="34"/>
      <c r="H16" s="34"/>
      <c r="I16" s="34"/>
      <c r="J16" s="34"/>
      <c r="K16" s="34"/>
      <c r="L16" s="34"/>
      <c r="M16" s="118" t="e">
        <f t="shared" si="1"/>
        <v>#REF!</v>
      </c>
      <c r="N16" s="118" t="e">
        <f t="shared" si="1"/>
        <v>#REF!</v>
      </c>
      <c r="O16" s="123">
        <f t="shared" si="4"/>
        <v>0</v>
      </c>
      <c r="P16" s="123">
        <f t="shared" si="4"/>
        <v>0</v>
      </c>
      <c r="Q16" s="123">
        <f t="shared" si="4"/>
        <v>0</v>
      </c>
      <c r="R16" s="123">
        <f t="shared" si="4"/>
        <v>0</v>
      </c>
      <c r="S16" s="123">
        <f t="shared" si="4"/>
        <v>0</v>
      </c>
      <c r="T16" s="123">
        <f t="shared" si="4"/>
        <v>0</v>
      </c>
      <c r="U16" s="123">
        <f t="shared" si="4"/>
        <v>0</v>
      </c>
      <c r="V16" s="123">
        <f t="shared" si="4"/>
        <v>0</v>
      </c>
      <c r="W16" s="36">
        <f t="shared" si="3"/>
        <v>0</v>
      </c>
    </row>
    <row r="17" spans="1:23" ht="75">
      <c r="A17" s="322"/>
      <c r="B17" s="325"/>
      <c r="C17" s="17" t="s">
        <v>140</v>
      </c>
      <c r="D17" s="34"/>
      <c r="E17" s="34"/>
      <c r="F17" s="34"/>
      <c r="G17" s="34"/>
      <c r="H17" s="34"/>
      <c r="I17" s="34"/>
      <c r="J17" s="34"/>
      <c r="K17" s="34"/>
      <c r="L17" s="34"/>
      <c r="M17" s="118" t="e">
        <f t="shared" si="1"/>
        <v>#REF!</v>
      </c>
      <c r="N17" s="118" t="e">
        <f t="shared" si="1"/>
        <v>#REF!</v>
      </c>
      <c r="O17" s="123">
        <f t="shared" si="4"/>
        <v>0</v>
      </c>
      <c r="P17" s="123">
        <f t="shared" si="4"/>
        <v>0</v>
      </c>
      <c r="Q17" s="123">
        <f t="shared" si="4"/>
        <v>0</v>
      </c>
      <c r="R17" s="123">
        <f t="shared" si="4"/>
        <v>0</v>
      </c>
      <c r="S17" s="123">
        <f t="shared" si="4"/>
        <v>0</v>
      </c>
      <c r="T17" s="123">
        <f t="shared" si="4"/>
        <v>0</v>
      </c>
      <c r="U17" s="123">
        <f t="shared" si="4"/>
        <v>0</v>
      </c>
      <c r="V17" s="123">
        <f t="shared" si="4"/>
        <v>0</v>
      </c>
      <c r="W17" s="36">
        <f t="shared" si="3"/>
        <v>0</v>
      </c>
    </row>
    <row r="18" spans="1:23" ht="30">
      <c r="A18" s="322"/>
      <c r="B18" s="325"/>
      <c r="C18" s="17" t="s">
        <v>60</v>
      </c>
      <c r="D18" s="37"/>
      <c r="E18" s="37"/>
      <c r="F18" s="37"/>
      <c r="G18" s="37"/>
      <c r="H18" s="37"/>
      <c r="I18" s="37"/>
      <c r="J18" s="37"/>
      <c r="K18" s="37"/>
      <c r="L18" s="37"/>
      <c r="M18" s="118" t="e">
        <f t="shared" si="1"/>
        <v>#REF!</v>
      </c>
      <c r="N18" s="118" t="e">
        <f t="shared" si="1"/>
        <v>#REF!</v>
      </c>
      <c r="O18" s="123">
        <f aca="true" t="shared" si="5" ref="O18:V18">O109+O255+O54</f>
        <v>8194.900000000001</v>
      </c>
      <c r="P18" s="123">
        <f t="shared" si="5"/>
        <v>10291.7</v>
      </c>
      <c r="Q18" s="123">
        <f t="shared" si="5"/>
        <v>9641.600000000002</v>
      </c>
      <c r="R18" s="123">
        <f t="shared" si="5"/>
        <v>9706.7</v>
      </c>
      <c r="S18" s="123">
        <f t="shared" si="5"/>
        <v>9706.7</v>
      </c>
      <c r="T18" s="123">
        <f t="shared" si="5"/>
        <v>9706.7</v>
      </c>
      <c r="U18" s="123">
        <f t="shared" si="5"/>
        <v>9706.7</v>
      </c>
      <c r="V18" s="123">
        <f t="shared" si="5"/>
        <v>9706.7</v>
      </c>
      <c r="W18" s="36">
        <f t="shared" si="3"/>
        <v>76661.7</v>
      </c>
    </row>
    <row r="19" spans="1:23" ht="45">
      <c r="A19" s="322"/>
      <c r="B19" s="325"/>
      <c r="C19" s="17" t="s">
        <v>141</v>
      </c>
      <c r="D19" s="34"/>
      <c r="E19" s="34"/>
      <c r="F19" s="34"/>
      <c r="G19" s="34"/>
      <c r="H19" s="34"/>
      <c r="I19" s="34"/>
      <c r="J19" s="34"/>
      <c r="K19" s="34"/>
      <c r="L19" s="34"/>
      <c r="M19" s="118" t="e">
        <f t="shared" si="1"/>
        <v>#REF!</v>
      </c>
      <c r="N19" s="118" t="e">
        <f t="shared" si="1"/>
        <v>#REF!</v>
      </c>
      <c r="O19" s="123">
        <f aca="true" t="shared" si="6" ref="O19:V19">O110+O256</f>
        <v>0</v>
      </c>
      <c r="P19" s="123">
        <f t="shared" si="6"/>
        <v>0</v>
      </c>
      <c r="Q19" s="123">
        <f t="shared" si="6"/>
        <v>0</v>
      </c>
      <c r="R19" s="123">
        <f t="shared" si="6"/>
        <v>0</v>
      </c>
      <c r="S19" s="123">
        <f t="shared" si="6"/>
        <v>0</v>
      </c>
      <c r="T19" s="123">
        <f t="shared" si="6"/>
        <v>0</v>
      </c>
      <c r="U19" s="123">
        <f t="shared" si="6"/>
        <v>0</v>
      </c>
      <c r="V19" s="123">
        <f t="shared" si="6"/>
        <v>0</v>
      </c>
      <c r="W19" s="36">
        <f t="shared" si="3"/>
        <v>0</v>
      </c>
    </row>
    <row r="20" spans="1:23" ht="45">
      <c r="A20" s="322"/>
      <c r="B20" s="325"/>
      <c r="C20" s="17" t="s">
        <v>114</v>
      </c>
      <c r="D20" s="34"/>
      <c r="E20" s="34"/>
      <c r="F20" s="34"/>
      <c r="G20" s="34"/>
      <c r="H20" s="34"/>
      <c r="I20" s="34"/>
      <c r="J20" s="34"/>
      <c r="K20" s="34"/>
      <c r="L20" s="34"/>
      <c r="M20" s="118" t="e">
        <f aca="true" t="shared" si="7" ref="M20:V20">M112+M258</f>
        <v>#REF!</v>
      </c>
      <c r="N20" s="118" t="e">
        <f t="shared" si="7"/>
        <v>#REF!</v>
      </c>
      <c r="O20" s="123">
        <f t="shared" si="7"/>
        <v>4561.5</v>
      </c>
      <c r="P20" s="123">
        <f t="shared" si="7"/>
        <v>0</v>
      </c>
      <c r="Q20" s="123">
        <f t="shared" si="7"/>
        <v>0</v>
      </c>
      <c r="R20" s="123">
        <f t="shared" si="7"/>
        <v>0</v>
      </c>
      <c r="S20" s="123">
        <f t="shared" si="7"/>
        <v>0</v>
      </c>
      <c r="T20" s="123">
        <f t="shared" si="7"/>
        <v>0</v>
      </c>
      <c r="U20" s="123">
        <f t="shared" si="7"/>
        <v>0</v>
      </c>
      <c r="V20" s="123">
        <f t="shared" si="7"/>
        <v>0</v>
      </c>
      <c r="W20" s="36">
        <f t="shared" si="3"/>
        <v>4561.5</v>
      </c>
    </row>
    <row r="21" spans="1:23" ht="60">
      <c r="A21" s="322"/>
      <c r="B21" s="325"/>
      <c r="C21" s="17" t="s">
        <v>142</v>
      </c>
      <c r="D21" s="34"/>
      <c r="E21" s="34"/>
      <c r="F21" s="34"/>
      <c r="G21" s="34"/>
      <c r="H21" s="34"/>
      <c r="I21" s="34"/>
      <c r="J21" s="34"/>
      <c r="K21" s="34"/>
      <c r="L21" s="34"/>
      <c r="M21" s="118" t="e">
        <f aca="true" t="shared" si="8" ref="M21:V21">M113+M259</f>
        <v>#REF!</v>
      </c>
      <c r="N21" s="118" t="e">
        <f t="shared" si="8"/>
        <v>#REF!</v>
      </c>
      <c r="O21" s="123">
        <f t="shared" si="8"/>
        <v>14850</v>
      </c>
      <c r="P21" s="123">
        <f t="shared" si="8"/>
        <v>0</v>
      </c>
      <c r="Q21" s="123">
        <f t="shared" si="8"/>
        <v>0</v>
      </c>
      <c r="R21" s="123">
        <f t="shared" si="8"/>
        <v>0</v>
      </c>
      <c r="S21" s="123">
        <f t="shared" si="8"/>
        <v>0</v>
      </c>
      <c r="T21" s="123">
        <f t="shared" si="8"/>
        <v>0</v>
      </c>
      <c r="U21" s="123">
        <f t="shared" si="8"/>
        <v>0</v>
      </c>
      <c r="V21" s="123">
        <f t="shared" si="8"/>
        <v>0</v>
      </c>
      <c r="W21" s="36">
        <f t="shared" si="3"/>
        <v>14850</v>
      </c>
    </row>
    <row r="22" spans="1:23" ht="30">
      <c r="A22" s="322"/>
      <c r="B22" s="325"/>
      <c r="C22" s="17" t="s">
        <v>143</v>
      </c>
      <c r="D22" s="34"/>
      <c r="E22" s="34"/>
      <c r="F22" s="34"/>
      <c r="G22" s="34"/>
      <c r="H22" s="34"/>
      <c r="I22" s="34"/>
      <c r="J22" s="34"/>
      <c r="K22" s="34"/>
      <c r="L22" s="34"/>
      <c r="M22" s="118" t="e">
        <f aca="true" t="shared" si="9" ref="M22:V22">M114+M260</f>
        <v>#REF!</v>
      </c>
      <c r="N22" s="118" t="e">
        <f t="shared" si="9"/>
        <v>#REF!</v>
      </c>
      <c r="O22" s="123">
        <f t="shared" si="9"/>
        <v>1280</v>
      </c>
      <c r="P22" s="123">
        <f t="shared" si="9"/>
        <v>0</v>
      </c>
      <c r="Q22" s="123">
        <f t="shared" si="9"/>
        <v>0</v>
      </c>
      <c r="R22" s="123">
        <f t="shared" si="9"/>
        <v>0</v>
      </c>
      <c r="S22" s="123">
        <f t="shared" si="9"/>
        <v>0</v>
      </c>
      <c r="T22" s="123">
        <f t="shared" si="9"/>
        <v>0</v>
      </c>
      <c r="U22" s="123">
        <f t="shared" si="9"/>
        <v>0</v>
      </c>
      <c r="V22" s="123">
        <f t="shared" si="9"/>
        <v>0</v>
      </c>
      <c r="W22" s="36">
        <f t="shared" si="3"/>
        <v>1280</v>
      </c>
    </row>
    <row r="23" spans="1:23" ht="45">
      <c r="A23" s="322"/>
      <c r="B23" s="325"/>
      <c r="C23" s="17" t="s">
        <v>144</v>
      </c>
      <c r="D23" s="34"/>
      <c r="E23" s="34"/>
      <c r="F23" s="34"/>
      <c r="G23" s="34"/>
      <c r="H23" s="34"/>
      <c r="I23" s="34"/>
      <c r="J23" s="34"/>
      <c r="K23" s="34"/>
      <c r="L23" s="34"/>
      <c r="M23" s="118" t="e">
        <f aca="true" t="shared" si="10" ref="M23:V23">M115+M261</f>
        <v>#REF!</v>
      </c>
      <c r="N23" s="118" t="e">
        <f t="shared" si="10"/>
        <v>#REF!</v>
      </c>
      <c r="O23" s="123">
        <f t="shared" si="10"/>
        <v>0</v>
      </c>
      <c r="P23" s="123">
        <f t="shared" si="10"/>
        <v>0</v>
      </c>
      <c r="Q23" s="123">
        <f t="shared" si="10"/>
        <v>0</v>
      </c>
      <c r="R23" s="123">
        <f t="shared" si="10"/>
        <v>0</v>
      </c>
      <c r="S23" s="123">
        <f t="shared" si="10"/>
        <v>0</v>
      </c>
      <c r="T23" s="123">
        <f t="shared" si="10"/>
        <v>0</v>
      </c>
      <c r="U23" s="123">
        <f t="shared" si="10"/>
        <v>0</v>
      </c>
      <c r="V23" s="123">
        <f t="shared" si="10"/>
        <v>0</v>
      </c>
      <c r="W23" s="36">
        <f t="shared" si="3"/>
        <v>0</v>
      </c>
    </row>
    <row r="24" spans="1:23" ht="60">
      <c r="A24" s="322"/>
      <c r="B24" s="325"/>
      <c r="C24" s="17" t="s">
        <v>145</v>
      </c>
      <c r="D24" s="34"/>
      <c r="E24" s="34"/>
      <c r="F24" s="34"/>
      <c r="G24" s="34"/>
      <c r="H24" s="34"/>
      <c r="I24" s="34"/>
      <c r="J24" s="34"/>
      <c r="K24" s="34"/>
      <c r="L24" s="34"/>
      <c r="M24" s="118" t="e">
        <f aca="true" t="shared" si="11" ref="M24:V24">M116+M262</f>
        <v>#REF!</v>
      </c>
      <c r="N24" s="118" t="e">
        <f t="shared" si="11"/>
        <v>#REF!</v>
      </c>
      <c r="O24" s="118">
        <f t="shared" si="11"/>
        <v>22612.7</v>
      </c>
      <c r="P24" s="123">
        <f t="shared" si="11"/>
        <v>9614</v>
      </c>
      <c r="Q24" s="123">
        <f t="shared" si="11"/>
        <v>9614</v>
      </c>
      <c r="R24" s="123">
        <f t="shared" si="11"/>
        <v>9614</v>
      </c>
      <c r="S24" s="123">
        <f t="shared" si="11"/>
        <v>9614</v>
      </c>
      <c r="T24" s="123">
        <f t="shared" si="11"/>
        <v>9614</v>
      </c>
      <c r="U24" s="123">
        <f t="shared" si="11"/>
        <v>9614</v>
      </c>
      <c r="V24" s="123">
        <f t="shared" si="11"/>
        <v>9614</v>
      </c>
      <c r="W24" s="36">
        <f t="shared" si="3"/>
        <v>89910.7</v>
      </c>
    </row>
    <row r="25" spans="1:23" ht="45">
      <c r="A25" s="322"/>
      <c r="B25" s="325"/>
      <c r="C25" s="17" t="s">
        <v>9</v>
      </c>
      <c r="D25" s="34"/>
      <c r="E25" s="34"/>
      <c r="F25" s="34"/>
      <c r="G25" s="34"/>
      <c r="H25" s="34"/>
      <c r="I25" s="34"/>
      <c r="J25" s="34"/>
      <c r="K25" s="34"/>
      <c r="L25" s="34"/>
      <c r="M25" s="118" t="e">
        <f>M102+M248</f>
        <v>#REF!</v>
      </c>
      <c r="N25" s="118" t="e">
        <f>N102+N248</f>
        <v>#REF!</v>
      </c>
      <c r="O25" s="123">
        <f aca="true" t="shared" si="12" ref="O25:V25">O102+O248+O34</f>
        <v>2968758.8</v>
      </c>
      <c r="P25" s="123">
        <f t="shared" si="12"/>
        <v>923858.5</v>
      </c>
      <c r="Q25" s="123">
        <f t="shared" si="12"/>
        <v>900411.4</v>
      </c>
      <c r="R25" s="123">
        <f t="shared" si="12"/>
        <v>910965.9</v>
      </c>
      <c r="S25" s="123">
        <f t="shared" si="12"/>
        <v>910965.9</v>
      </c>
      <c r="T25" s="123">
        <f t="shared" si="12"/>
        <v>910965.9</v>
      </c>
      <c r="U25" s="123">
        <f t="shared" si="12"/>
        <v>910965.9</v>
      </c>
      <c r="V25" s="123">
        <f t="shared" si="12"/>
        <v>910965.9</v>
      </c>
      <c r="W25" s="36">
        <f t="shared" si="3"/>
        <v>9347858.200000001</v>
      </c>
    </row>
    <row r="26" spans="1:23" ht="45">
      <c r="A26" s="322"/>
      <c r="B26" s="325"/>
      <c r="C26" s="17" t="s">
        <v>146</v>
      </c>
      <c r="D26" s="34"/>
      <c r="E26" s="34"/>
      <c r="F26" s="34"/>
      <c r="G26" s="34"/>
      <c r="H26" s="34"/>
      <c r="I26" s="34"/>
      <c r="J26" s="34"/>
      <c r="K26" s="34"/>
      <c r="L26" s="34"/>
      <c r="M26" s="118" t="e">
        <f aca="true" t="shared" si="13" ref="M26:V26">M117+M263</f>
        <v>#REF!</v>
      </c>
      <c r="N26" s="118" t="e">
        <f t="shared" si="13"/>
        <v>#REF!</v>
      </c>
      <c r="O26" s="123">
        <f t="shared" si="13"/>
        <v>0</v>
      </c>
      <c r="P26" s="123">
        <f t="shared" si="13"/>
        <v>0</v>
      </c>
      <c r="Q26" s="123">
        <f t="shared" si="13"/>
        <v>0</v>
      </c>
      <c r="R26" s="123">
        <f t="shared" si="13"/>
        <v>0</v>
      </c>
      <c r="S26" s="123">
        <f t="shared" si="13"/>
        <v>0</v>
      </c>
      <c r="T26" s="123">
        <f t="shared" si="13"/>
        <v>0</v>
      </c>
      <c r="U26" s="123">
        <f t="shared" si="13"/>
        <v>0</v>
      </c>
      <c r="V26" s="123">
        <f t="shared" si="13"/>
        <v>0</v>
      </c>
      <c r="W26" s="36">
        <f t="shared" si="3"/>
        <v>0</v>
      </c>
    </row>
    <row r="27" spans="1:23" ht="45">
      <c r="A27" s="322"/>
      <c r="B27" s="325"/>
      <c r="C27" s="17" t="s">
        <v>147</v>
      </c>
      <c r="D27" s="34"/>
      <c r="E27" s="34"/>
      <c r="F27" s="34"/>
      <c r="G27" s="34"/>
      <c r="H27" s="34"/>
      <c r="I27" s="34"/>
      <c r="J27" s="34"/>
      <c r="K27" s="34"/>
      <c r="L27" s="34"/>
      <c r="M27" s="118" t="e">
        <f aca="true" t="shared" si="14" ref="M27:V27">M118+M264</f>
        <v>#REF!</v>
      </c>
      <c r="N27" s="118" t="e">
        <f t="shared" si="14"/>
        <v>#REF!</v>
      </c>
      <c r="O27" s="123">
        <f t="shared" si="14"/>
        <v>2200</v>
      </c>
      <c r="P27" s="123">
        <f t="shared" si="14"/>
        <v>0</v>
      </c>
      <c r="Q27" s="123">
        <f t="shared" si="14"/>
        <v>0</v>
      </c>
      <c r="R27" s="123">
        <f t="shared" si="14"/>
        <v>0</v>
      </c>
      <c r="S27" s="123">
        <f t="shared" si="14"/>
        <v>0</v>
      </c>
      <c r="T27" s="123">
        <f t="shared" si="14"/>
        <v>0</v>
      </c>
      <c r="U27" s="123">
        <f t="shared" si="14"/>
        <v>0</v>
      </c>
      <c r="V27" s="123">
        <f t="shared" si="14"/>
        <v>0</v>
      </c>
      <c r="W27" s="36">
        <f t="shared" si="3"/>
        <v>2200</v>
      </c>
    </row>
    <row r="28" spans="1:23" ht="45">
      <c r="A28" s="322"/>
      <c r="B28" s="325"/>
      <c r="C28" s="17" t="s">
        <v>148</v>
      </c>
      <c r="D28" s="34"/>
      <c r="E28" s="34"/>
      <c r="F28" s="34"/>
      <c r="G28" s="34"/>
      <c r="H28" s="34"/>
      <c r="I28" s="34"/>
      <c r="J28" s="34"/>
      <c r="K28" s="34"/>
      <c r="L28" s="34"/>
      <c r="M28" s="118" t="e">
        <f aca="true" t="shared" si="15" ref="M28:V28">M119+M265</f>
        <v>#REF!</v>
      </c>
      <c r="N28" s="118" t="e">
        <f t="shared" si="15"/>
        <v>#REF!</v>
      </c>
      <c r="O28" s="123">
        <f t="shared" si="15"/>
        <v>0</v>
      </c>
      <c r="P28" s="123">
        <f t="shared" si="15"/>
        <v>0</v>
      </c>
      <c r="Q28" s="123">
        <f t="shared" si="15"/>
        <v>0</v>
      </c>
      <c r="R28" s="123">
        <f t="shared" si="15"/>
        <v>0</v>
      </c>
      <c r="S28" s="123">
        <f t="shared" si="15"/>
        <v>0</v>
      </c>
      <c r="T28" s="123">
        <f t="shared" si="15"/>
        <v>0</v>
      </c>
      <c r="U28" s="123">
        <f t="shared" si="15"/>
        <v>0</v>
      </c>
      <c r="V28" s="123">
        <f t="shared" si="15"/>
        <v>0</v>
      </c>
      <c r="W28" s="36">
        <f t="shared" si="3"/>
        <v>0</v>
      </c>
    </row>
    <row r="29" spans="1:23" ht="30">
      <c r="A29" s="322"/>
      <c r="B29" s="325"/>
      <c r="C29" s="17" t="s">
        <v>149</v>
      </c>
      <c r="D29" s="34"/>
      <c r="E29" s="34"/>
      <c r="F29" s="34"/>
      <c r="G29" s="34"/>
      <c r="H29" s="34"/>
      <c r="I29" s="34"/>
      <c r="J29" s="34"/>
      <c r="K29" s="34"/>
      <c r="L29" s="34"/>
      <c r="M29" s="118" t="e">
        <f aca="true" t="shared" si="16" ref="M29:V29">M120+M266</f>
        <v>#REF!</v>
      </c>
      <c r="N29" s="118" t="e">
        <f t="shared" si="16"/>
        <v>#REF!</v>
      </c>
      <c r="O29" s="123">
        <f t="shared" si="16"/>
        <v>0</v>
      </c>
      <c r="P29" s="123">
        <f t="shared" si="16"/>
        <v>0</v>
      </c>
      <c r="Q29" s="123">
        <f t="shared" si="16"/>
        <v>0</v>
      </c>
      <c r="R29" s="123">
        <f t="shared" si="16"/>
        <v>0</v>
      </c>
      <c r="S29" s="123">
        <f t="shared" si="16"/>
        <v>0</v>
      </c>
      <c r="T29" s="123">
        <f t="shared" si="16"/>
        <v>0</v>
      </c>
      <c r="U29" s="123">
        <f t="shared" si="16"/>
        <v>0</v>
      </c>
      <c r="V29" s="123">
        <f t="shared" si="16"/>
        <v>0</v>
      </c>
      <c r="W29" s="36">
        <f t="shared" si="3"/>
        <v>0</v>
      </c>
    </row>
    <row r="30" spans="1:23" ht="60">
      <c r="A30" s="322"/>
      <c r="B30" s="325"/>
      <c r="C30" s="17" t="s">
        <v>150</v>
      </c>
      <c r="D30" s="34"/>
      <c r="E30" s="34"/>
      <c r="F30" s="34"/>
      <c r="G30" s="34"/>
      <c r="H30" s="34"/>
      <c r="I30" s="34"/>
      <c r="J30" s="34"/>
      <c r="K30" s="34"/>
      <c r="L30" s="34"/>
      <c r="M30" s="118" t="e">
        <f aca="true" t="shared" si="17" ref="M30:V30">M111+M257</f>
        <v>#REF!</v>
      </c>
      <c r="N30" s="118" t="e">
        <f t="shared" si="17"/>
        <v>#REF!</v>
      </c>
      <c r="O30" s="123">
        <f t="shared" si="17"/>
        <v>0</v>
      </c>
      <c r="P30" s="123">
        <f t="shared" si="17"/>
        <v>0</v>
      </c>
      <c r="Q30" s="123">
        <f t="shared" si="17"/>
        <v>0</v>
      </c>
      <c r="R30" s="123">
        <f t="shared" si="17"/>
        <v>0</v>
      </c>
      <c r="S30" s="123">
        <f t="shared" si="17"/>
        <v>0</v>
      </c>
      <c r="T30" s="123">
        <f t="shared" si="17"/>
        <v>0</v>
      </c>
      <c r="U30" s="123">
        <f t="shared" si="17"/>
        <v>0</v>
      </c>
      <c r="V30" s="123">
        <f t="shared" si="17"/>
        <v>0</v>
      </c>
      <c r="W30" s="36">
        <f t="shared" si="3"/>
        <v>0</v>
      </c>
    </row>
    <row r="31" spans="1:23" ht="152.25" customHeight="1">
      <c r="A31" s="322"/>
      <c r="B31" s="325"/>
      <c r="C31" s="131" t="s">
        <v>106</v>
      </c>
      <c r="D31" s="34"/>
      <c r="E31" s="34"/>
      <c r="F31" s="34"/>
      <c r="G31" s="34"/>
      <c r="H31" s="34"/>
      <c r="I31" s="34"/>
      <c r="J31" s="34"/>
      <c r="K31" s="34"/>
      <c r="L31" s="34"/>
      <c r="M31" s="118" t="e">
        <f aca="true" t="shared" si="18" ref="M31:V31">M121+M267</f>
        <v>#REF!</v>
      </c>
      <c r="N31" s="118" t="e">
        <f t="shared" si="18"/>
        <v>#REF!</v>
      </c>
      <c r="O31" s="123">
        <f t="shared" si="18"/>
        <v>132746.9</v>
      </c>
      <c r="P31" s="123">
        <f t="shared" si="18"/>
        <v>12048.2</v>
      </c>
      <c r="Q31" s="123">
        <f t="shared" si="18"/>
        <v>2675</v>
      </c>
      <c r="R31" s="123">
        <f t="shared" si="18"/>
        <v>2675</v>
      </c>
      <c r="S31" s="123">
        <f t="shared" si="18"/>
        <v>2675</v>
      </c>
      <c r="T31" s="123">
        <f t="shared" si="18"/>
        <v>2675</v>
      </c>
      <c r="U31" s="123">
        <f t="shared" si="18"/>
        <v>2675</v>
      </c>
      <c r="V31" s="123">
        <f t="shared" si="18"/>
        <v>2675</v>
      </c>
      <c r="W31" s="36">
        <f t="shared" si="3"/>
        <v>160845.1</v>
      </c>
    </row>
    <row r="32" spans="1:23" ht="59.25" customHeight="1">
      <c r="A32" s="322"/>
      <c r="B32" s="325"/>
      <c r="C32" s="14" t="s">
        <v>62</v>
      </c>
      <c r="D32" s="34"/>
      <c r="E32" s="34"/>
      <c r="F32" s="34"/>
      <c r="G32" s="34"/>
      <c r="H32" s="34"/>
      <c r="I32" s="34"/>
      <c r="J32" s="34"/>
      <c r="K32" s="34"/>
      <c r="L32" s="34"/>
      <c r="M32" s="118" t="e">
        <f>M103+M249</f>
        <v>#REF!</v>
      </c>
      <c r="N32" s="118" t="e">
        <f>N103+N249</f>
        <v>#REF!</v>
      </c>
      <c r="O32" s="123">
        <f aca="true" t="shared" si="19" ref="O32:V32">O103+O249+O71</f>
        <v>5125.700000000001</v>
      </c>
      <c r="P32" s="123">
        <f t="shared" si="19"/>
        <v>5847</v>
      </c>
      <c r="Q32" s="123">
        <f t="shared" si="19"/>
        <v>6060.999999999999</v>
      </c>
      <c r="R32" s="123">
        <f t="shared" si="19"/>
        <v>6108.299999999999</v>
      </c>
      <c r="S32" s="123">
        <f t="shared" si="19"/>
        <v>6108.299999999999</v>
      </c>
      <c r="T32" s="123">
        <f t="shared" si="19"/>
        <v>6108.299999999999</v>
      </c>
      <c r="U32" s="123">
        <f t="shared" si="19"/>
        <v>6108.299999999999</v>
      </c>
      <c r="V32" s="123">
        <f t="shared" si="19"/>
        <v>6108.299999999999</v>
      </c>
      <c r="W32" s="36">
        <f t="shared" si="3"/>
        <v>47575.2</v>
      </c>
    </row>
    <row r="33" spans="1:23" ht="30">
      <c r="A33" s="322"/>
      <c r="B33" s="325"/>
      <c r="C33" s="131" t="s">
        <v>151</v>
      </c>
      <c r="D33" s="34"/>
      <c r="E33" s="34"/>
      <c r="F33" s="34"/>
      <c r="G33" s="34"/>
      <c r="H33" s="34"/>
      <c r="I33" s="34"/>
      <c r="J33" s="34"/>
      <c r="K33" s="34"/>
      <c r="L33" s="34"/>
      <c r="M33" s="118" t="e">
        <f aca="true" t="shared" si="20" ref="M33:V33">M122+M268</f>
        <v>#REF!</v>
      </c>
      <c r="N33" s="118" t="e">
        <f t="shared" si="20"/>
        <v>#REF!</v>
      </c>
      <c r="O33" s="123">
        <f t="shared" si="20"/>
        <v>500</v>
      </c>
      <c r="P33" s="123">
        <f t="shared" si="20"/>
        <v>0</v>
      </c>
      <c r="Q33" s="123">
        <f t="shared" si="20"/>
        <v>0</v>
      </c>
      <c r="R33" s="123">
        <f t="shared" si="20"/>
        <v>0</v>
      </c>
      <c r="S33" s="123">
        <f t="shared" si="20"/>
        <v>0</v>
      </c>
      <c r="T33" s="123">
        <f t="shared" si="20"/>
        <v>0</v>
      </c>
      <c r="U33" s="123">
        <f t="shared" si="20"/>
        <v>0</v>
      </c>
      <c r="V33" s="123">
        <f t="shared" si="20"/>
        <v>0</v>
      </c>
      <c r="W33" s="36">
        <f t="shared" si="3"/>
        <v>500</v>
      </c>
    </row>
    <row r="34" spans="1:23" ht="16.5" customHeight="1">
      <c r="A34" s="288" t="s">
        <v>152</v>
      </c>
      <c r="B34" s="288" t="s">
        <v>153</v>
      </c>
      <c r="C34" s="288" t="s">
        <v>9</v>
      </c>
      <c r="D34" s="37"/>
      <c r="E34" s="37"/>
      <c r="F34" s="37"/>
      <c r="H34" s="37"/>
      <c r="I34" s="37"/>
      <c r="J34" s="37"/>
      <c r="K34" s="37"/>
      <c r="L34" s="37"/>
      <c r="M34" s="35">
        <v>29652.2</v>
      </c>
      <c r="N34" s="35">
        <v>31159.6</v>
      </c>
      <c r="O34" s="44">
        <f>SUM(O35:O44)</f>
        <v>35092.799999999996</v>
      </c>
      <c r="P34" s="44">
        <f>SUM(P45:P53)</f>
        <v>36146</v>
      </c>
      <c r="Q34" s="44">
        <f aca="true" t="shared" si="21" ref="Q34:V34">SUM(Q45:Q53)</f>
        <v>37533.1</v>
      </c>
      <c r="R34" s="44">
        <f t="shared" si="21"/>
        <v>37862.6</v>
      </c>
      <c r="S34" s="44">
        <f t="shared" si="21"/>
        <v>37862.6</v>
      </c>
      <c r="T34" s="44">
        <f t="shared" si="21"/>
        <v>37862.6</v>
      </c>
      <c r="U34" s="44">
        <f t="shared" si="21"/>
        <v>37862.6</v>
      </c>
      <c r="V34" s="44">
        <f t="shared" si="21"/>
        <v>37862.6</v>
      </c>
      <c r="W34" s="36"/>
    </row>
    <row r="35" spans="1:23" ht="18.75">
      <c r="A35" s="312"/>
      <c r="B35" s="312"/>
      <c r="C35" s="312"/>
      <c r="D35" s="37" t="s">
        <v>154</v>
      </c>
      <c r="E35" s="37" t="s">
        <v>155</v>
      </c>
      <c r="F35" s="37"/>
      <c r="G35" s="37"/>
      <c r="H35" s="37" t="s">
        <v>157</v>
      </c>
      <c r="I35" s="37" t="s">
        <v>158</v>
      </c>
      <c r="J35" s="37" t="s">
        <v>159</v>
      </c>
      <c r="K35" s="37" t="s">
        <v>160</v>
      </c>
      <c r="L35" s="37" t="s">
        <v>94</v>
      </c>
      <c r="M35" s="35"/>
      <c r="N35" s="35"/>
      <c r="O35" s="44">
        <v>27067.2</v>
      </c>
      <c r="P35" s="44"/>
      <c r="Q35" s="44"/>
      <c r="R35" s="44"/>
      <c r="S35" s="44"/>
      <c r="T35" s="44"/>
      <c r="U35" s="44"/>
      <c r="V35" s="44"/>
      <c r="W35" s="36"/>
    </row>
    <row r="36" spans="1:23" ht="18.75">
      <c r="A36" s="312"/>
      <c r="B36" s="312"/>
      <c r="C36" s="312"/>
      <c r="D36" s="37" t="s">
        <v>154</v>
      </c>
      <c r="E36" s="37" t="s">
        <v>155</v>
      </c>
      <c r="F36" s="37" t="s">
        <v>155</v>
      </c>
      <c r="G36" s="37" t="s">
        <v>155</v>
      </c>
      <c r="H36" s="37" t="s">
        <v>157</v>
      </c>
      <c r="I36" s="37" t="s">
        <v>158</v>
      </c>
      <c r="J36" s="37" t="s">
        <v>159</v>
      </c>
      <c r="K36" s="37" t="s">
        <v>160</v>
      </c>
      <c r="L36" s="37" t="s">
        <v>95</v>
      </c>
      <c r="M36" s="35"/>
      <c r="N36" s="35"/>
      <c r="O36" s="44">
        <v>1078.8</v>
      </c>
      <c r="P36" s="44"/>
      <c r="Q36" s="44"/>
      <c r="R36" s="44"/>
      <c r="S36" s="44"/>
      <c r="T36" s="44"/>
      <c r="U36" s="44"/>
      <c r="V36" s="44"/>
      <c r="W36" s="36"/>
    </row>
    <row r="37" spans="1:23" ht="18.75">
      <c r="A37" s="312"/>
      <c r="B37" s="312"/>
      <c r="C37" s="312"/>
      <c r="D37" s="37" t="s">
        <v>154</v>
      </c>
      <c r="E37" s="37" t="s">
        <v>155</v>
      </c>
      <c r="F37" s="37" t="s">
        <v>155</v>
      </c>
      <c r="G37" s="37" t="s">
        <v>154</v>
      </c>
      <c r="H37" s="37" t="s">
        <v>157</v>
      </c>
      <c r="I37" s="37" t="s">
        <v>158</v>
      </c>
      <c r="J37" s="37" t="s">
        <v>159</v>
      </c>
      <c r="K37" s="37" t="s">
        <v>160</v>
      </c>
      <c r="L37" s="37" t="s">
        <v>96</v>
      </c>
      <c r="M37" s="35"/>
      <c r="N37" s="35"/>
      <c r="O37" s="44">
        <v>1622.8</v>
      </c>
      <c r="P37" s="44"/>
      <c r="Q37" s="44"/>
      <c r="R37" s="44"/>
      <c r="S37" s="44"/>
      <c r="T37" s="44"/>
      <c r="U37" s="44"/>
      <c r="V37" s="44"/>
      <c r="W37" s="36"/>
    </row>
    <row r="38" spans="1:23" ht="18.75">
      <c r="A38" s="312"/>
      <c r="B38" s="312"/>
      <c r="C38" s="312"/>
      <c r="D38" s="37" t="s">
        <v>154</v>
      </c>
      <c r="E38" s="37" t="s">
        <v>155</v>
      </c>
      <c r="F38" s="37" t="s">
        <v>155</v>
      </c>
      <c r="G38" s="37" t="s">
        <v>182</v>
      </c>
      <c r="H38" s="37" t="s">
        <v>157</v>
      </c>
      <c r="I38" s="37" t="s">
        <v>158</v>
      </c>
      <c r="J38" s="37" t="s">
        <v>159</v>
      </c>
      <c r="K38" s="37" t="s">
        <v>160</v>
      </c>
      <c r="L38" s="37" t="s">
        <v>92</v>
      </c>
      <c r="M38" s="35"/>
      <c r="N38" s="35"/>
      <c r="O38" s="44">
        <v>4576.3</v>
      </c>
      <c r="P38" s="44"/>
      <c r="Q38" s="44"/>
      <c r="R38" s="44"/>
      <c r="S38" s="44"/>
      <c r="T38" s="44"/>
      <c r="U38" s="44"/>
      <c r="V38" s="44"/>
      <c r="W38" s="36"/>
    </row>
    <row r="39" spans="1:23" ht="18.75">
      <c r="A39" s="312"/>
      <c r="B39" s="312"/>
      <c r="C39" s="312"/>
      <c r="D39" s="37" t="s">
        <v>154</v>
      </c>
      <c r="E39" s="37" t="s">
        <v>155</v>
      </c>
      <c r="F39" s="37" t="s">
        <v>155</v>
      </c>
      <c r="G39" s="37" t="s">
        <v>158</v>
      </c>
      <c r="H39" s="37" t="s">
        <v>157</v>
      </c>
      <c r="I39" s="37" t="s">
        <v>158</v>
      </c>
      <c r="J39" s="37" t="s">
        <v>159</v>
      </c>
      <c r="K39" s="37" t="s">
        <v>160</v>
      </c>
      <c r="L39" s="37" t="s">
        <v>97</v>
      </c>
      <c r="M39" s="35"/>
      <c r="N39" s="35"/>
      <c r="O39" s="44">
        <v>286.7</v>
      </c>
      <c r="P39" s="44"/>
      <c r="Q39" s="44"/>
      <c r="R39" s="44"/>
      <c r="S39" s="44"/>
      <c r="T39" s="44"/>
      <c r="U39" s="44"/>
      <c r="V39" s="44"/>
      <c r="W39" s="36"/>
    </row>
    <row r="40" spans="1:23" ht="18.75">
      <c r="A40" s="312"/>
      <c r="B40" s="312"/>
      <c r="C40" s="312"/>
      <c r="D40" s="37" t="s">
        <v>154</v>
      </c>
      <c r="E40" s="37" t="s">
        <v>155</v>
      </c>
      <c r="F40" s="37" t="s">
        <v>155</v>
      </c>
      <c r="G40" s="37" t="s">
        <v>169</v>
      </c>
      <c r="H40" s="37" t="s">
        <v>157</v>
      </c>
      <c r="I40" s="37" t="s">
        <v>158</v>
      </c>
      <c r="J40" s="37" t="s">
        <v>159</v>
      </c>
      <c r="K40" s="37" t="s">
        <v>160</v>
      </c>
      <c r="L40" s="37" t="s">
        <v>98</v>
      </c>
      <c r="M40" s="35"/>
      <c r="N40" s="35"/>
      <c r="O40" s="44">
        <v>185</v>
      </c>
      <c r="P40" s="44"/>
      <c r="Q40" s="44"/>
      <c r="R40" s="44"/>
      <c r="S40" s="44"/>
      <c r="T40" s="44"/>
      <c r="U40" s="44"/>
      <c r="V40" s="44"/>
      <c r="W40" s="36"/>
    </row>
    <row r="41" spans="1:23" ht="18.75">
      <c r="A41" s="312"/>
      <c r="B41" s="312"/>
      <c r="C41" s="312"/>
      <c r="D41" s="37" t="s">
        <v>154</v>
      </c>
      <c r="E41" s="37" t="s">
        <v>155</v>
      </c>
      <c r="F41" s="37" t="s">
        <v>155</v>
      </c>
      <c r="G41" s="37" t="s">
        <v>186</v>
      </c>
      <c r="H41" s="37" t="s">
        <v>157</v>
      </c>
      <c r="I41" s="37" t="s">
        <v>158</v>
      </c>
      <c r="J41" s="37" t="s">
        <v>159</v>
      </c>
      <c r="K41" s="37" t="s">
        <v>160</v>
      </c>
      <c r="L41" s="37" t="s">
        <v>99</v>
      </c>
      <c r="M41" s="35"/>
      <c r="N41" s="35"/>
      <c r="O41" s="44">
        <v>20</v>
      </c>
      <c r="P41" s="44"/>
      <c r="Q41" s="44"/>
      <c r="R41" s="44"/>
      <c r="S41" s="44"/>
      <c r="T41" s="44"/>
      <c r="U41" s="44"/>
      <c r="V41" s="44"/>
      <c r="W41" s="36"/>
    </row>
    <row r="42" spans="1:23" ht="18.75">
      <c r="A42" s="312"/>
      <c r="B42" s="312"/>
      <c r="C42" s="312"/>
      <c r="D42" s="37" t="s">
        <v>154</v>
      </c>
      <c r="E42" s="37" t="s">
        <v>155</v>
      </c>
      <c r="F42" s="37" t="s">
        <v>155</v>
      </c>
      <c r="G42" s="37" t="s">
        <v>187</v>
      </c>
      <c r="H42" s="37" t="s">
        <v>157</v>
      </c>
      <c r="I42" s="37" t="s">
        <v>158</v>
      </c>
      <c r="J42" s="37" t="s">
        <v>159</v>
      </c>
      <c r="K42" s="37" t="s">
        <v>382</v>
      </c>
      <c r="L42" s="37" t="s">
        <v>94</v>
      </c>
      <c r="M42" s="35"/>
      <c r="N42" s="35"/>
      <c r="O42" s="44">
        <v>56</v>
      </c>
      <c r="P42" s="44"/>
      <c r="Q42" s="44"/>
      <c r="R42" s="44"/>
      <c r="S42" s="44"/>
      <c r="T42" s="44"/>
      <c r="U42" s="44"/>
      <c r="V42" s="44"/>
      <c r="W42" s="36"/>
    </row>
    <row r="43" spans="1:23" ht="18.75">
      <c r="A43" s="312"/>
      <c r="B43" s="312"/>
      <c r="C43" s="312"/>
      <c r="D43" s="37" t="s">
        <v>154</v>
      </c>
      <c r="E43" s="37" t="s">
        <v>155</v>
      </c>
      <c r="F43" s="37" t="s">
        <v>155</v>
      </c>
      <c r="G43" s="37" t="s">
        <v>174</v>
      </c>
      <c r="H43" s="37" t="s">
        <v>157</v>
      </c>
      <c r="I43" s="37" t="s">
        <v>187</v>
      </c>
      <c r="J43" s="37" t="s">
        <v>169</v>
      </c>
      <c r="K43" s="37" t="s">
        <v>100</v>
      </c>
      <c r="L43" s="37" t="s">
        <v>95</v>
      </c>
      <c r="M43" s="35"/>
      <c r="N43" s="35"/>
      <c r="O43" s="44">
        <v>100</v>
      </c>
      <c r="P43" s="44"/>
      <c r="Q43" s="44"/>
      <c r="R43" s="44"/>
      <c r="S43" s="44"/>
      <c r="T43" s="44"/>
      <c r="U43" s="44"/>
      <c r="V43" s="44"/>
      <c r="W43" s="36"/>
    </row>
    <row r="44" spans="1:23" ht="18.75">
      <c r="A44" s="312"/>
      <c r="B44" s="312"/>
      <c r="C44" s="312"/>
      <c r="D44" s="37" t="s">
        <v>154</v>
      </c>
      <c r="E44" s="37" t="s">
        <v>155</v>
      </c>
      <c r="F44" s="37" t="s">
        <v>155</v>
      </c>
      <c r="G44" s="37" t="s">
        <v>190</v>
      </c>
      <c r="H44" s="37" t="s">
        <v>157</v>
      </c>
      <c r="I44" s="37" t="s">
        <v>187</v>
      </c>
      <c r="J44" s="37" t="s">
        <v>169</v>
      </c>
      <c r="K44" s="37" t="s">
        <v>100</v>
      </c>
      <c r="L44" s="37" t="s">
        <v>92</v>
      </c>
      <c r="M44" s="35"/>
      <c r="N44" s="35"/>
      <c r="O44" s="44">
        <v>100</v>
      </c>
      <c r="P44" s="44"/>
      <c r="Q44" s="44"/>
      <c r="R44" s="44"/>
      <c r="S44" s="44"/>
      <c r="T44" s="44"/>
      <c r="U44" s="44"/>
      <c r="V44" s="44"/>
      <c r="W44" s="36"/>
    </row>
    <row r="45" spans="1:23" ht="18.75">
      <c r="A45" s="312"/>
      <c r="B45" s="312"/>
      <c r="C45" s="312"/>
      <c r="D45" s="37" t="s">
        <v>154</v>
      </c>
      <c r="E45" s="37" t="s">
        <v>155</v>
      </c>
      <c r="F45" s="37" t="s">
        <v>155</v>
      </c>
      <c r="G45" s="37" t="s">
        <v>181</v>
      </c>
      <c r="H45" s="37" t="s">
        <v>157</v>
      </c>
      <c r="I45" s="37" t="s">
        <v>158</v>
      </c>
      <c r="J45" s="37" t="s">
        <v>159</v>
      </c>
      <c r="K45" s="37" t="s">
        <v>397</v>
      </c>
      <c r="L45" s="37" t="s">
        <v>94</v>
      </c>
      <c r="M45" s="35"/>
      <c r="N45" s="35"/>
      <c r="O45" s="44">
        <v>0</v>
      </c>
      <c r="P45" s="44">
        <v>28886.4</v>
      </c>
      <c r="Q45" s="44">
        <v>29956.5</v>
      </c>
      <c r="R45" s="44">
        <v>29956.5</v>
      </c>
      <c r="S45" s="44">
        <v>29956.5</v>
      </c>
      <c r="T45" s="44">
        <v>29956.5</v>
      </c>
      <c r="U45" s="44">
        <v>29956.5</v>
      </c>
      <c r="V45" s="44">
        <v>29956.5</v>
      </c>
      <c r="W45" s="36"/>
    </row>
    <row r="46" spans="1:23" ht="18.75">
      <c r="A46" s="312"/>
      <c r="B46" s="312"/>
      <c r="C46" s="312"/>
      <c r="D46" s="37" t="s">
        <v>154</v>
      </c>
      <c r="E46" s="37" t="s">
        <v>155</v>
      </c>
      <c r="F46" s="37" t="s">
        <v>155</v>
      </c>
      <c r="G46" s="37" t="s">
        <v>191</v>
      </c>
      <c r="H46" s="37" t="s">
        <v>157</v>
      </c>
      <c r="I46" s="37" t="s">
        <v>158</v>
      </c>
      <c r="J46" s="37" t="s">
        <v>159</v>
      </c>
      <c r="K46" s="37" t="s">
        <v>397</v>
      </c>
      <c r="L46" s="37" t="s">
        <v>95</v>
      </c>
      <c r="M46" s="35"/>
      <c r="N46" s="35"/>
      <c r="O46" s="44">
        <v>0</v>
      </c>
      <c r="P46" s="44">
        <v>1098.8</v>
      </c>
      <c r="Q46" s="44">
        <v>1098.8</v>
      </c>
      <c r="R46" s="44">
        <v>1098.8</v>
      </c>
      <c r="S46" s="44">
        <v>1098.8</v>
      </c>
      <c r="T46" s="44">
        <v>1098.8</v>
      </c>
      <c r="U46" s="44">
        <v>1098.8</v>
      </c>
      <c r="V46" s="44">
        <v>1098.8</v>
      </c>
      <c r="W46" s="36"/>
    </row>
    <row r="47" spans="1:23" ht="18.75">
      <c r="A47" s="312"/>
      <c r="B47" s="312"/>
      <c r="C47" s="312"/>
      <c r="D47" s="37" t="s">
        <v>154</v>
      </c>
      <c r="E47" s="37" t="s">
        <v>155</v>
      </c>
      <c r="F47" s="37" t="s">
        <v>155</v>
      </c>
      <c r="G47" s="37" t="s">
        <v>159</v>
      </c>
      <c r="H47" s="37" t="s">
        <v>157</v>
      </c>
      <c r="I47" s="37" t="s">
        <v>158</v>
      </c>
      <c r="J47" s="37" t="s">
        <v>159</v>
      </c>
      <c r="K47" s="37" t="s">
        <v>397</v>
      </c>
      <c r="L47" s="37" t="s">
        <v>96</v>
      </c>
      <c r="M47" s="35"/>
      <c r="N47" s="35"/>
      <c r="O47" s="44">
        <v>0</v>
      </c>
      <c r="P47" s="44">
        <v>1443.3</v>
      </c>
      <c r="Q47" s="44">
        <v>1443.3</v>
      </c>
      <c r="R47" s="44">
        <v>1443.3</v>
      </c>
      <c r="S47" s="44">
        <v>1443.3</v>
      </c>
      <c r="T47" s="44">
        <v>1443.3</v>
      </c>
      <c r="U47" s="44">
        <v>1443.3</v>
      </c>
      <c r="V47" s="44">
        <v>1443.3</v>
      </c>
      <c r="W47" s="36"/>
    </row>
    <row r="48" spans="1:23" ht="18.75">
      <c r="A48" s="312"/>
      <c r="B48" s="312"/>
      <c r="C48" s="312"/>
      <c r="D48" s="37" t="s">
        <v>154</v>
      </c>
      <c r="E48" s="37" t="s">
        <v>155</v>
      </c>
      <c r="F48" s="37" t="s">
        <v>155</v>
      </c>
      <c r="G48" s="37" t="s">
        <v>192</v>
      </c>
      <c r="H48" s="37" t="s">
        <v>157</v>
      </c>
      <c r="I48" s="37" t="s">
        <v>158</v>
      </c>
      <c r="J48" s="37" t="s">
        <v>159</v>
      </c>
      <c r="K48" s="37" t="s">
        <v>397</v>
      </c>
      <c r="L48" s="37" t="s">
        <v>92</v>
      </c>
      <c r="M48" s="35"/>
      <c r="N48" s="35"/>
      <c r="O48" s="44">
        <v>0</v>
      </c>
      <c r="P48" s="44">
        <v>4415</v>
      </c>
      <c r="Q48" s="44">
        <v>4671.5</v>
      </c>
      <c r="R48" s="44">
        <v>5001</v>
      </c>
      <c r="S48" s="44">
        <v>5001</v>
      </c>
      <c r="T48" s="44">
        <v>5001</v>
      </c>
      <c r="U48" s="44">
        <v>5001</v>
      </c>
      <c r="V48" s="44">
        <v>5001</v>
      </c>
      <c r="W48" s="36"/>
    </row>
    <row r="49" spans="1:23" ht="18.75">
      <c r="A49" s="312"/>
      <c r="B49" s="312"/>
      <c r="C49" s="312"/>
      <c r="D49" s="37" t="s">
        <v>154</v>
      </c>
      <c r="E49" s="37" t="s">
        <v>155</v>
      </c>
      <c r="F49" s="37" t="s">
        <v>155</v>
      </c>
      <c r="G49" s="37" t="s">
        <v>156</v>
      </c>
      <c r="H49" s="37" t="s">
        <v>157</v>
      </c>
      <c r="I49" s="37" t="s">
        <v>158</v>
      </c>
      <c r="J49" s="37" t="s">
        <v>159</v>
      </c>
      <c r="K49" s="37" t="s">
        <v>397</v>
      </c>
      <c r="L49" s="37" t="s">
        <v>97</v>
      </c>
      <c r="M49" s="35"/>
      <c r="N49" s="35"/>
      <c r="O49" s="44">
        <v>0</v>
      </c>
      <c r="P49" s="44">
        <v>0</v>
      </c>
      <c r="Q49" s="44">
        <v>3</v>
      </c>
      <c r="R49" s="44">
        <v>3</v>
      </c>
      <c r="S49" s="44">
        <v>3</v>
      </c>
      <c r="T49" s="44">
        <v>3</v>
      </c>
      <c r="U49" s="44">
        <v>3</v>
      </c>
      <c r="V49" s="44">
        <v>3</v>
      </c>
      <c r="W49" s="36"/>
    </row>
    <row r="50" spans="1:23" ht="18.75">
      <c r="A50" s="312"/>
      <c r="B50" s="312"/>
      <c r="C50" s="312"/>
      <c r="D50" s="37" t="s">
        <v>154</v>
      </c>
      <c r="E50" s="37" t="s">
        <v>155</v>
      </c>
      <c r="F50" s="37" t="s">
        <v>155</v>
      </c>
      <c r="G50" s="37" t="s">
        <v>163</v>
      </c>
      <c r="H50" s="37" t="s">
        <v>157</v>
      </c>
      <c r="I50" s="37" t="s">
        <v>158</v>
      </c>
      <c r="J50" s="37" t="s">
        <v>159</v>
      </c>
      <c r="K50" s="37" t="s">
        <v>397</v>
      </c>
      <c r="L50" s="37" t="s">
        <v>98</v>
      </c>
      <c r="M50" s="35"/>
      <c r="N50" s="35"/>
      <c r="O50" s="44">
        <v>0</v>
      </c>
      <c r="P50" s="44">
        <v>82.5</v>
      </c>
      <c r="Q50" s="44">
        <v>90</v>
      </c>
      <c r="R50" s="44">
        <v>90</v>
      </c>
      <c r="S50" s="44">
        <v>90</v>
      </c>
      <c r="T50" s="44">
        <v>90</v>
      </c>
      <c r="U50" s="44">
        <v>90</v>
      </c>
      <c r="V50" s="44">
        <v>90</v>
      </c>
      <c r="W50" s="36"/>
    </row>
    <row r="51" spans="1:23" ht="18.75">
      <c r="A51" s="312"/>
      <c r="B51" s="312"/>
      <c r="C51" s="312"/>
      <c r="D51" s="37" t="s">
        <v>154</v>
      </c>
      <c r="E51" s="37" t="s">
        <v>155</v>
      </c>
      <c r="F51" s="37" t="s">
        <v>155</v>
      </c>
      <c r="G51" s="37" t="s">
        <v>167</v>
      </c>
      <c r="H51" s="37" t="s">
        <v>157</v>
      </c>
      <c r="I51" s="37" t="s">
        <v>158</v>
      </c>
      <c r="J51" s="37" t="s">
        <v>159</v>
      </c>
      <c r="K51" s="37" t="s">
        <v>397</v>
      </c>
      <c r="L51" s="37" t="s">
        <v>99</v>
      </c>
      <c r="M51" s="35"/>
      <c r="N51" s="35"/>
      <c r="O51" s="44">
        <v>0</v>
      </c>
      <c r="P51" s="44">
        <v>20</v>
      </c>
      <c r="Q51" s="44">
        <v>70</v>
      </c>
      <c r="R51" s="44">
        <v>70</v>
      </c>
      <c r="S51" s="44">
        <v>70</v>
      </c>
      <c r="T51" s="44">
        <v>70</v>
      </c>
      <c r="U51" s="44">
        <v>70</v>
      </c>
      <c r="V51" s="44">
        <v>70</v>
      </c>
      <c r="W51" s="36"/>
    </row>
    <row r="52" spans="1:23" ht="18.75">
      <c r="A52" s="312"/>
      <c r="B52" s="312"/>
      <c r="C52" s="312"/>
      <c r="D52" s="37" t="s">
        <v>154</v>
      </c>
      <c r="E52" s="37" t="s">
        <v>155</v>
      </c>
      <c r="F52" s="37" t="s">
        <v>155</v>
      </c>
      <c r="G52" s="37" t="s">
        <v>172</v>
      </c>
      <c r="H52" s="37" t="s">
        <v>157</v>
      </c>
      <c r="I52" s="37" t="s">
        <v>187</v>
      </c>
      <c r="J52" s="37" t="s">
        <v>169</v>
      </c>
      <c r="K52" s="37" t="s">
        <v>398</v>
      </c>
      <c r="L52" s="37" t="s">
        <v>95</v>
      </c>
      <c r="M52" s="35"/>
      <c r="N52" s="35"/>
      <c r="O52" s="44">
        <v>0</v>
      </c>
      <c r="P52" s="44">
        <v>100</v>
      </c>
      <c r="Q52" s="44">
        <v>100</v>
      </c>
      <c r="R52" s="44">
        <v>100</v>
      </c>
      <c r="S52" s="44">
        <v>100</v>
      </c>
      <c r="T52" s="44">
        <v>100</v>
      </c>
      <c r="U52" s="44">
        <v>100</v>
      </c>
      <c r="V52" s="44">
        <v>100</v>
      </c>
      <c r="W52" s="36"/>
    </row>
    <row r="53" spans="1:23" ht="18.75">
      <c r="A53" s="289"/>
      <c r="B53" s="289"/>
      <c r="C53" s="289"/>
      <c r="D53" s="37" t="s">
        <v>154</v>
      </c>
      <c r="E53" s="37" t="s">
        <v>155</v>
      </c>
      <c r="F53" s="37" t="s">
        <v>155</v>
      </c>
      <c r="G53" s="37" t="s">
        <v>430</v>
      </c>
      <c r="H53" s="37" t="s">
        <v>157</v>
      </c>
      <c r="I53" s="37" t="s">
        <v>187</v>
      </c>
      <c r="J53" s="37" t="s">
        <v>169</v>
      </c>
      <c r="K53" s="37" t="s">
        <v>398</v>
      </c>
      <c r="L53" s="37" t="s">
        <v>92</v>
      </c>
      <c r="M53" s="35"/>
      <c r="N53" s="35"/>
      <c r="O53" s="44">
        <v>0</v>
      </c>
      <c r="P53" s="44">
        <v>100</v>
      </c>
      <c r="Q53" s="44">
        <v>100</v>
      </c>
      <c r="R53" s="44">
        <v>100</v>
      </c>
      <c r="S53" s="44">
        <v>100</v>
      </c>
      <c r="T53" s="44">
        <v>100</v>
      </c>
      <c r="U53" s="44">
        <v>100</v>
      </c>
      <c r="V53" s="44">
        <v>100</v>
      </c>
      <c r="W53" s="36"/>
    </row>
    <row r="54" spans="1:23" ht="18" customHeight="1">
      <c r="A54" s="288" t="s">
        <v>161</v>
      </c>
      <c r="B54" s="288" t="s">
        <v>162</v>
      </c>
      <c r="C54" s="288" t="s">
        <v>60</v>
      </c>
      <c r="D54" s="37"/>
      <c r="E54" s="37"/>
      <c r="F54" s="37"/>
      <c r="G54" s="37"/>
      <c r="H54" s="37"/>
      <c r="I54" s="37"/>
      <c r="J54" s="37"/>
      <c r="K54" s="37"/>
      <c r="L54" s="37"/>
      <c r="M54" s="35">
        <v>6075.5</v>
      </c>
      <c r="N54" s="35">
        <v>6111.2</v>
      </c>
      <c r="O54" s="44">
        <f>SUM(O55:O63)</f>
        <v>8194.900000000001</v>
      </c>
      <c r="P54" s="44">
        <f>SUM(P64:P70)</f>
        <v>9291.7</v>
      </c>
      <c r="Q54" s="44">
        <f aca="true" t="shared" si="22" ref="Q54:V54">SUM(Q64:Q70)</f>
        <v>9641.600000000002</v>
      </c>
      <c r="R54" s="44">
        <f t="shared" si="22"/>
        <v>9706.7</v>
      </c>
      <c r="S54" s="44">
        <f t="shared" si="22"/>
        <v>9706.7</v>
      </c>
      <c r="T54" s="44">
        <f t="shared" si="22"/>
        <v>9706.7</v>
      </c>
      <c r="U54" s="44">
        <f t="shared" si="22"/>
        <v>9706.7</v>
      </c>
      <c r="V54" s="44">
        <f t="shared" si="22"/>
        <v>9706.7</v>
      </c>
      <c r="W54" s="36"/>
    </row>
    <row r="55" spans="1:23" ht="18.75">
      <c r="A55" s="312"/>
      <c r="B55" s="312"/>
      <c r="C55" s="312"/>
      <c r="D55" s="37" t="s">
        <v>154</v>
      </c>
      <c r="E55" s="37" t="s">
        <v>155</v>
      </c>
      <c r="F55" s="37" t="s">
        <v>154</v>
      </c>
      <c r="G55" s="37" t="s">
        <v>155</v>
      </c>
      <c r="H55" s="37" t="s">
        <v>164</v>
      </c>
      <c r="I55" s="37" t="s">
        <v>158</v>
      </c>
      <c r="J55" s="37" t="s">
        <v>155</v>
      </c>
      <c r="K55" s="37" t="s">
        <v>160</v>
      </c>
      <c r="L55" s="37" t="s">
        <v>94</v>
      </c>
      <c r="M55" s="35"/>
      <c r="N55" s="35"/>
      <c r="O55" s="44">
        <v>6286.8</v>
      </c>
      <c r="P55" s="44"/>
      <c r="Q55" s="44"/>
      <c r="R55" s="44"/>
      <c r="S55" s="44"/>
      <c r="T55" s="44"/>
      <c r="U55" s="44"/>
      <c r="V55" s="44"/>
      <c r="W55" s="36"/>
    </row>
    <row r="56" spans="1:23" ht="18.75">
      <c r="A56" s="312"/>
      <c r="B56" s="312"/>
      <c r="C56" s="312"/>
      <c r="D56" s="37" t="s">
        <v>154</v>
      </c>
      <c r="E56" s="37" t="s">
        <v>155</v>
      </c>
      <c r="F56" s="37" t="s">
        <v>154</v>
      </c>
      <c r="G56" s="37" t="s">
        <v>154</v>
      </c>
      <c r="H56" s="37" t="s">
        <v>164</v>
      </c>
      <c r="I56" s="37" t="s">
        <v>158</v>
      </c>
      <c r="J56" s="37" t="s">
        <v>155</v>
      </c>
      <c r="K56" s="37" t="s">
        <v>160</v>
      </c>
      <c r="L56" s="37" t="s">
        <v>95</v>
      </c>
      <c r="M56" s="35"/>
      <c r="N56" s="35"/>
      <c r="O56" s="44">
        <v>161.5</v>
      </c>
      <c r="P56" s="44"/>
      <c r="Q56" s="44"/>
      <c r="R56" s="44"/>
      <c r="S56" s="44"/>
      <c r="T56" s="44"/>
      <c r="U56" s="44"/>
      <c r="V56" s="44"/>
      <c r="W56" s="36"/>
    </row>
    <row r="57" spans="1:23" ht="18.75">
      <c r="A57" s="312"/>
      <c r="B57" s="312"/>
      <c r="C57" s="312"/>
      <c r="D57" s="37" t="s">
        <v>154</v>
      </c>
      <c r="E57" s="37" t="s">
        <v>155</v>
      </c>
      <c r="F57" s="37" t="s">
        <v>154</v>
      </c>
      <c r="G57" s="37" t="s">
        <v>182</v>
      </c>
      <c r="H57" s="37" t="s">
        <v>164</v>
      </c>
      <c r="I57" s="37" t="s">
        <v>158</v>
      </c>
      <c r="J57" s="37" t="s">
        <v>155</v>
      </c>
      <c r="K57" s="37" t="s">
        <v>160</v>
      </c>
      <c r="L57" s="37" t="s">
        <v>96</v>
      </c>
      <c r="M57" s="35"/>
      <c r="N57" s="35"/>
      <c r="O57" s="44">
        <v>503.8</v>
      </c>
      <c r="P57" s="44"/>
      <c r="Q57" s="44"/>
      <c r="R57" s="44"/>
      <c r="S57" s="44"/>
      <c r="T57" s="44"/>
      <c r="U57" s="44"/>
      <c r="V57" s="44"/>
      <c r="W57" s="36"/>
    </row>
    <row r="58" spans="1:23" ht="18.75">
      <c r="A58" s="312"/>
      <c r="B58" s="312"/>
      <c r="C58" s="312"/>
      <c r="D58" s="37" t="s">
        <v>154</v>
      </c>
      <c r="E58" s="37" t="s">
        <v>155</v>
      </c>
      <c r="F58" s="37" t="s">
        <v>154</v>
      </c>
      <c r="G58" s="37" t="s">
        <v>158</v>
      </c>
      <c r="H58" s="37" t="s">
        <v>164</v>
      </c>
      <c r="I58" s="37" t="s">
        <v>158</v>
      </c>
      <c r="J58" s="37" t="s">
        <v>155</v>
      </c>
      <c r="K58" s="37" t="s">
        <v>160</v>
      </c>
      <c r="L58" s="37" t="s">
        <v>92</v>
      </c>
      <c r="M58" s="35"/>
      <c r="N58" s="35"/>
      <c r="O58" s="44">
        <v>966.1</v>
      </c>
      <c r="P58" s="44"/>
      <c r="Q58" s="44"/>
      <c r="R58" s="44"/>
      <c r="S58" s="44"/>
      <c r="T58" s="44"/>
      <c r="U58" s="44"/>
      <c r="V58" s="44"/>
      <c r="W58" s="36"/>
    </row>
    <row r="59" spans="1:23" ht="18.75">
      <c r="A59" s="312"/>
      <c r="B59" s="312"/>
      <c r="C59" s="312"/>
      <c r="D59" s="37" t="s">
        <v>154</v>
      </c>
      <c r="E59" s="37" t="s">
        <v>155</v>
      </c>
      <c r="F59" s="37" t="s">
        <v>154</v>
      </c>
      <c r="G59" s="37" t="s">
        <v>169</v>
      </c>
      <c r="H59" s="37" t="s">
        <v>164</v>
      </c>
      <c r="I59" s="37" t="s">
        <v>158</v>
      </c>
      <c r="J59" s="37" t="s">
        <v>155</v>
      </c>
      <c r="K59" s="37" t="s">
        <v>160</v>
      </c>
      <c r="L59" s="37" t="s">
        <v>98</v>
      </c>
      <c r="M59" s="35"/>
      <c r="N59" s="35"/>
      <c r="O59" s="44">
        <v>11.2</v>
      </c>
      <c r="P59" s="44"/>
      <c r="Q59" s="44"/>
      <c r="R59" s="44"/>
      <c r="S59" s="44"/>
      <c r="T59" s="44"/>
      <c r="U59" s="44"/>
      <c r="V59" s="44"/>
      <c r="W59" s="36"/>
    </row>
    <row r="60" spans="1:23" ht="18.75">
      <c r="A60" s="312"/>
      <c r="B60" s="312"/>
      <c r="C60" s="312"/>
      <c r="D60" s="37" t="s">
        <v>154</v>
      </c>
      <c r="E60" s="37" t="s">
        <v>155</v>
      </c>
      <c r="F60" s="37" t="s">
        <v>154</v>
      </c>
      <c r="G60" s="37" t="s">
        <v>186</v>
      </c>
      <c r="H60" s="37" t="s">
        <v>164</v>
      </c>
      <c r="I60" s="37" t="s">
        <v>158</v>
      </c>
      <c r="J60" s="37" t="s">
        <v>155</v>
      </c>
      <c r="K60" s="37" t="s">
        <v>160</v>
      </c>
      <c r="L60" s="37" t="s">
        <v>99</v>
      </c>
      <c r="M60" s="35"/>
      <c r="N60" s="35"/>
      <c r="O60" s="44">
        <v>3.6</v>
      </c>
      <c r="P60" s="44"/>
      <c r="Q60" s="44"/>
      <c r="R60" s="44"/>
      <c r="S60" s="44"/>
      <c r="T60" s="44"/>
      <c r="U60" s="44"/>
      <c r="V60" s="44"/>
      <c r="W60" s="36"/>
    </row>
    <row r="61" spans="1:23" ht="18.75">
      <c r="A61" s="312"/>
      <c r="B61" s="312"/>
      <c r="C61" s="312"/>
      <c r="D61" s="37" t="s">
        <v>154</v>
      </c>
      <c r="E61" s="37" t="s">
        <v>155</v>
      </c>
      <c r="F61" s="37" t="s">
        <v>154</v>
      </c>
      <c r="G61" s="37" t="s">
        <v>187</v>
      </c>
      <c r="H61" s="37" t="s">
        <v>164</v>
      </c>
      <c r="I61" s="37" t="s">
        <v>158</v>
      </c>
      <c r="J61" s="37" t="s">
        <v>155</v>
      </c>
      <c r="K61" s="37" t="s">
        <v>160</v>
      </c>
      <c r="L61" s="37" t="s">
        <v>97</v>
      </c>
      <c r="M61" s="35"/>
      <c r="N61" s="35"/>
      <c r="O61" s="44">
        <v>192.4</v>
      </c>
      <c r="P61" s="44"/>
      <c r="Q61" s="44"/>
      <c r="R61" s="44"/>
      <c r="S61" s="44"/>
      <c r="T61" s="44"/>
      <c r="U61" s="44"/>
      <c r="V61" s="44"/>
      <c r="W61" s="36"/>
    </row>
    <row r="62" spans="1:23" ht="18.75">
      <c r="A62" s="312"/>
      <c r="B62" s="312"/>
      <c r="C62" s="312"/>
      <c r="D62" s="37" t="s">
        <v>154</v>
      </c>
      <c r="E62" s="37" t="s">
        <v>155</v>
      </c>
      <c r="F62" s="37" t="s">
        <v>154</v>
      </c>
      <c r="G62" s="37" t="s">
        <v>174</v>
      </c>
      <c r="H62" s="37" t="s">
        <v>164</v>
      </c>
      <c r="I62" s="37" t="s">
        <v>187</v>
      </c>
      <c r="J62" s="37" t="s">
        <v>169</v>
      </c>
      <c r="K62" s="37" t="s">
        <v>100</v>
      </c>
      <c r="L62" s="37" t="s">
        <v>95</v>
      </c>
      <c r="M62" s="35"/>
      <c r="N62" s="35"/>
      <c r="O62" s="44">
        <v>33.1</v>
      </c>
      <c r="P62" s="44"/>
      <c r="Q62" s="44"/>
      <c r="R62" s="44"/>
      <c r="S62" s="44"/>
      <c r="T62" s="44"/>
      <c r="U62" s="44"/>
      <c r="V62" s="44"/>
      <c r="W62" s="36"/>
    </row>
    <row r="63" spans="1:23" ht="17.25" customHeight="1">
      <c r="A63" s="312"/>
      <c r="B63" s="312"/>
      <c r="C63" s="312"/>
      <c r="D63" s="37" t="s">
        <v>154</v>
      </c>
      <c r="E63" s="37" t="s">
        <v>155</v>
      </c>
      <c r="F63" s="37" t="s">
        <v>154</v>
      </c>
      <c r="G63" s="37" t="s">
        <v>190</v>
      </c>
      <c r="H63" s="37" t="s">
        <v>164</v>
      </c>
      <c r="I63" s="37" t="s">
        <v>187</v>
      </c>
      <c r="J63" s="37" t="s">
        <v>169</v>
      </c>
      <c r="K63" s="37" t="s">
        <v>100</v>
      </c>
      <c r="L63" s="37" t="s">
        <v>92</v>
      </c>
      <c r="M63" s="6"/>
      <c r="N63" s="6"/>
      <c r="O63" s="44">
        <v>36.4</v>
      </c>
      <c r="P63" s="44"/>
      <c r="Q63" s="44"/>
      <c r="R63" s="44"/>
      <c r="S63" s="44"/>
      <c r="T63" s="44"/>
      <c r="U63" s="44"/>
      <c r="V63" s="44"/>
      <c r="W63" s="36"/>
    </row>
    <row r="64" spans="1:23" ht="17.25" customHeight="1">
      <c r="A64" s="312"/>
      <c r="B64" s="312"/>
      <c r="C64" s="312"/>
      <c r="D64" s="37" t="s">
        <v>154</v>
      </c>
      <c r="E64" s="37" t="s">
        <v>155</v>
      </c>
      <c r="F64" s="37" t="s">
        <v>154</v>
      </c>
      <c r="G64" s="37" t="s">
        <v>181</v>
      </c>
      <c r="H64" s="37" t="s">
        <v>164</v>
      </c>
      <c r="I64" s="37" t="s">
        <v>158</v>
      </c>
      <c r="J64" s="37" t="s">
        <v>155</v>
      </c>
      <c r="K64" s="37" t="s">
        <v>399</v>
      </c>
      <c r="L64" s="37" t="s">
        <v>94</v>
      </c>
      <c r="M64" s="6"/>
      <c r="N64" s="6"/>
      <c r="O64" s="44">
        <v>0</v>
      </c>
      <c r="P64" s="44">
        <v>7769.3</v>
      </c>
      <c r="Q64" s="44">
        <v>8057</v>
      </c>
      <c r="R64" s="44">
        <v>8057</v>
      </c>
      <c r="S64" s="44">
        <v>8057</v>
      </c>
      <c r="T64" s="44">
        <v>8057</v>
      </c>
      <c r="U64" s="44">
        <v>8057</v>
      </c>
      <c r="V64" s="44">
        <v>8057</v>
      </c>
      <c r="W64" s="36"/>
    </row>
    <row r="65" spans="1:23" ht="17.25" customHeight="1">
      <c r="A65" s="312"/>
      <c r="B65" s="312"/>
      <c r="C65" s="312"/>
      <c r="D65" s="37" t="s">
        <v>154</v>
      </c>
      <c r="E65" s="37" t="s">
        <v>155</v>
      </c>
      <c r="F65" s="37" t="s">
        <v>154</v>
      </c>
      <c r="G65" s="37" t="s">
        <v>191</v>
      </c>
      <c r="H65" s="37" t="s">
        <v>164</v>
      </c>
      <c r="I65" s="37" t="s">
        <v>158</v>
      </c>
      <c r="J65" s="37" t="s">
        <v>155</v>
      </c>
      <c r="K65" s="37" t="s">
        <v>399</v>
      </c>
      <c r="L65" s="37" t="s">
        <v>95</v>
      </c>
      <c r="M65" s="6"/>
      <c r="N65" s="6"/>
      <c r="O65" s="44">
        <v>0</v>
      </c>
      <c r="P65" s="44">
        <v>160</v>
      </c>
      <c r="Q65" s="44">
        <v>160</v>
      </c>
      <c r="R65" s="44">
        <v>180</v>
      </c>
      <c r="S65" s="44">
        <v>180</v>
      </c>
      <c r="T65" s="44">
        <v>180</v>
      </c>
      <c r="U65" s="44">
        <v>180</v>
      </c>
      <c r="V65" s="44">
        <v>180</v>
      </c>
      <c r="W65" s="36"/>
    </row>
    <row r="66" spans="1:23" ht="17.25" customHeight="1">
      <c r="A66" s="312"/>
      <c r="B66" s="312"/>
      <c r="C66" s="312"/>
      <c r="D66" s="37" t="s">
        <v>154</v>
      </c>
      <c r="E66" s="37" t="s">
        <v>155</v>
      </c>
      <c r="F66" s="37" t="s">
        <v>154</v>
      </c>
      <c r="G66" s="37" t="s">
        <v>159</v>
      </c>
      <c r="H66" s="37" t="s">
        <v>164</v>
      </c>
      <c r="I66" s="37" t="s">
        <v>158</v>
      </c>
      <c r="J66" s="37" t="s">
        <v>155</v>
      </c>
      <c r="K66" s="37" t="s">
        <v>399</v>
      </c>
      <c r="L66" s="37" t="s">
        <v>96</v>
      </c>
      <c r="M66" s="6"/>
      <c r="N66" s="6"/>
      <c r="O66" s="44">
        <v>0</v>
      </c>
      <c r="P66" s="44">
        <v>418</v>
      </c>
      <c r="Q66" s="44">
        <v>449.1</v>
      </c>
      <c r="R66" s="44">
        <v>461</v>
      </c>
      <c r="S66" s="44">
        <v>461</v>
      </c>
      <c r="T66" s="44">
        <v>461</v>
      </c>
      <c r="U66" s="44">
        <v>461</v>
      </c>
      <c r="V66" s="44">
        <v>461</v>
      </c>
      <c r="W66" s="36"/>
    </row>
    <row r="67" spans="1:23" ht="17.25" customHeight="1">
      <c r="A67" s="312"/>
      <c r="B67" s="312"/>
      <c r="C67" s="312"/>
      <c r="D67" s="37" t="s">
        <v>154</v>
      </c>
      <c r="E67" s="37" t="s">
        <v>155</v>
      </c>
      <c r="F67" s="37" t="s">
        <v>154</v>
      </c>
      <c r="G67" s="37" t="s">
        <v>192</v>
      </c>
      <c r="H67" s="37" t="s">
        <v>164</v>
      </c>
      <c r="I67" s="37" t="s">
        <v>158</v>
      </c>
      <c r="J67" s="37" t="s">
        <v>155</v>
      </c>
      <c r="K67" s="37" t="s">
        <v>399</v>
      </c>
      <c r="L67" s="37" t="s">
        <v>92</v>
      </c>
      <c r="M67" s="6"/>
      <c r="N67" s="6"/>
      <c r="O67" s="44">
        <v>0</v>
      </c>
      <c r="P67" s="44">
        <v>928</v>
      </c>
      <c r="Q67" s="44">
        <v>959.1</v>
      </c>
      <c r="R67" s="44">
        <v>992.3</v>
      </c>
      <c r="S67" s="44">
        <v>992.3</v>
      </c>
      <c r="T67" s="44">
        <v>992.3</v>
      </c>
      <c r="U67" s="44">
        <v>992.3</v>
      </c>
      <c r="V67" s="44">
        <v>992.3</v>
      </c>
      <c r="W67" s="36"/>
    </row>
    <row r="68" spans="1:23" ht="17.25" customHeight="1">
      <c r="A68" s="312"/>
      <c r="B68" s="312"/>
      <c r="C68" s="312"/>
      <c r="D68" s="37" t="s">
        <v>154</v>
      </c>
      <c r="E68" s="37" t="s">
        <v>155</v>
      </c>
      <c r="F68" s="37" t="s">
        <v>154</v>
      </c>
      <c r="G68" s="37" t="s">
        <v>156</v>
      </c>
      <c r="H68" s="37" t="s">
        <v>164</v>
      </c>
      <c r="I68" s="37" t="s">
        <v>158</v>
      </c>
      <c r="J68" s="37" t="s">
        <v>155</v>
      </c>
      <c r="K68" s="37" t="s">
        <v>399</v>
      </c>
      <c r="L68" s="37" t="s">
        <v>97</v>
      </c>
      <c r="M68" s="6"/>
      <c r="N68" s="6"/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36"/>
    </row>
    <row r="69" spans="1:23" ht="17.25" customHeight="1">
      <c r="A69" s="312"/>
      <c r="B69" s="312"/>
      <c r="C69" s="312"/>
      <c r="D69" s="37" t="s">
        <v>154</v>
      </c>
      <c r="E69" s="37" t="s">
        <v>155</v>
      </c>
      <c r="F69" s="37" t="s">
        <v>154</v>
      </c>
      <c r="G69" s="37" t="s">
        <v>163</v>
      </c>
      <c r="H69" s="37" t="s">
        <v>164</v>
      </c>
      <c r="I69" s="37" t="s">
        <v>158</v>
      </c>
      <c r="J69" s="37" t="s">
        <v>155</v>
      </c>
      <c r="K69" s="37" t="s">
        <v>399</v>
      </c>
      <c r="L69" s="37" t="s">
        <v>98</v>
      </c>
      <c r="M69" s="6"/>
      <c r="N69" s="6"/>
      <c r="O69" s="44">
        <v>0</v>
      </c>
      <c r="P69" s="44">
        <v>8.2</v>
      </c>
      <c r="Q69" s="44">
        <v>8.2</v>
      </c>
      <c r="R69" s="44">
        <v>8.2</v>
      </c>
      <c r="S69" s="44">
        <v>8.2</v>
      </c>
      <c r="T69" s="44">
        <v>8.2</v>
      </c>
      <c r="U69" s="44">
        <v>8.2</v>
      </c>
      <c r="V69" s="44">
        <v>8.2</v>
      </c>
      <c r="W69" s="36"/>
    </row>
    <row r="70" spans="1:23" ht="17.25" customHeight="1">
      <c r="A70" s="312"/>
      <c r="B70" s="312"/>
      <c r="C70" s="312"/>
      <c r="D70" s="37" t="s">
        <v>154</v>
      </c>
      <c r="E70" s="37" t="s">
        <v>155</v>
      </c>
      <c r="F70" s="37" t="s">
        <v>154</v>
      </c>
      <c r="G70" s="37" t="s">
        <v>167</v>
      </c>
      <c r="H70" s="37" t="s">
        <v>164</v>
      </c>
      <c r="I70" s="37" t="s">
        <v>158</v>
      </c>
      <c r="J70" s="37" t="s">
        <v>155</v>
      </c>
      <c r="K70" s="37" t="s">
        <v>399</v>
      </c>
      <c r="L70" s="37" t="s">
        <v>99</v>
      </c>
      <c r="M70" s="6"/>
      <c r="N70" s="6"/>
      <c r="O70" s="44">
        <v>0</v>
      </c>
      <c r="P70" s="44">
        <v>8.2</v>
      </c>
      <c r="Q70" s="44">
        <v>8.2</v>
      </c>
      <c r="R70" s="44">
        <v>8.2</v>
      </c>
      <c r="S70" s="44">
        <v>8.2</v>
      </c>
      <c r="T70" s="44">
        <v>8.2</v>
      </c>
      <c r="U70" s="44">
        <v>8.2</v>
      </c>
      <c r="V70" s="44">
        <v>8.2</v>
      </c>
      <c r="W70" s="36"/>
    </row>
    <row r="71" spans="1:23" ht="17.25" customHeight="1">
      <c r="A71" s="288" t="s">
        <v>165</v>
      </c>
      <c r="B71" s="288" t="s">
        <v>166</v>
      </c>
      <c r="C71" s="288" t="s">
        <v>62</v>
      </c>
      <c r="D71" s="37"/>
      <c r="E71" s="37"/>
      <c r="F71" s="37"/>
      <c r="G71" s="37"/>
      <c r="H71" s="37"/>
      <c r="I71" s="37"/>
      <c r="J71" s="37"/>
      <c r="K71" s="37"/>
      <c r="L71" s="37"/>
      <c r="M71" s="35">
        <v>2757</v>
      </c>
      <c r="N71" s="35">
        <v>4310</v>
      </c>
      <c r="O71" s="44">
        <f>SUM(O72:O77)</f>
        <v>5125.700000000001</v>
      </c>
      <c r="P71" s="44">
        <f>SUM(P78:P85)</f>
        <v>5847</v>
      </c>
      <c r="Q71" s="44">
        <f aca="true" t="shared" si="23" ref="Q71:V71">SUM(Q78:Q85)</f>
        <v>6060.999999999999</v>
      </c>
      <c r="R71" s="44">
        <f t="shared" si="23"/>
        <v>6108.299999999999</v>
      </c>
      <c r="S71" s="44">
        <f t="shared" si="23"/>
        <v>6108.299999999999</v>
      </c>
      <c r="T71" s="44">
        <f t="shared" si="23"/>
        <v>6108.299999999999</v>
      </c>
      <c r="U71" s="44">
        <f t="shared" si="23"/>
        <v>6108.299999999999</v>
      </c>
      <c r="V71" s="44">
        <f t="shared" si="23"/>
        <v>6108.299999999999</v>
      </c>
      <c r="W71" s="36"/>
    </row>
    <row r="72" spans="1:23" ht="18.75">
      <c r="A72" s="312"/>
      <c r="B72" s="312"/>
      <c r="C72" s="312"/>
      <c r="D72" s="37" t="s">
        <v>154</v>
      </c>
      <c r="E72" s="37" t="s">
        <v>155</v>
      </c>
      <c r="F72" s="37" t="s">
        <v>182</v>
      </c>
      <c r="G72" s="37" t="s">
        <v>155</v>
      </c>
      <c r="H72" s="37" t="s">
        <v>168</v>
      </c>
      <c r="I72" s="37" t="s">
        <v>169</v>
      </c>
      <c r="J72" s="37" t="s">
        <v>169</v>
      </c>
      <c r="K72" s="37" t="s">
        <v>160</v>
      </c>
      <c r="L72" s="37" t="s">
        <v>94</v>
      </c>
      <c r="M72" s="122"/>
      <c r="N72" s="122"/>
      <c r="O72" s="120">
        <f>3803.1+196.3</f>
        <v>3999.4</v>
      </c>
      <c r="P72" s="120"/>
      <c r="Q72" s="120"/>
      <c r="R72" s="120"/>
      <c r="S72" s="120"/>
      <c r="T72" s="120"/>
      <c r="U72" s="120"/>
      <c r="V72" s="120"/>
      <c r="W72" s="36"/>
    </row>
    <row r="73" spans="1:23" ht="18.75">
      <c r="A73" s="312"/>
      <c r="B73" s="312"/>
      <c r="C73" s="312"/>
      <c r="D73" s="37" t="s">
        <v>154</v>
      </c>
      <c r="E73" s="37" t="s">
        <v>155</v>
      </c>
      <c r="F73" s="37" t="s">
        <v>182</v>
      </c>
      <c r="G73" s="37" t="s">
        <v>154</v>
      </c>
      <c r="H73" s="37" t="s">
        <v>168</v>
      </c>
      <c r="I73" s="37" t="s">
        <v>169</v>
      </c>
      <c r="J73" s="37" t="s">
        <v>169</v>
      </c>
      <c r="K73" s="37" t="s">
        <v>160</v>
      </c>
      <c r="L73" s="37" t="s">
        <v>95</v>
      </c>
      <c r="M73" s="122"/>
      <c r="N73" s="122"/>
      <c r="O73" s="120">
        <v>22.6</v>
      </c>
      <c r="P73" s="120"/>
      <c r="Q73" s="120"/>
      <c r="R73" s="120"/>
      <c r="S73" s="120"/>
      <c r="T73" s="120"/>
      <c r="U73" s="120"/>
      <c r="V73" s="120"/>
      <c r="W73" s="36"/>
    </row>
    <row r="74" spans="1:23" ht="18.75">
      <c r="A74" s="312"/>
      <c r="B74" s="312"/>
      <c r="C74" s="312"/>
      <c r="D74" s="37" t="s">
        <v>154</v>
      </c>
      <c r="E74" s="37" t="s">
        <v>155</v>
      </c>
      <c r="F74" s="37" t="s">
        <v>182</v>
      </c>
      <c r="G74" s="37" t="s">
        <v>182</v>
      </c>
      <c r="H74" s="37" t="s">
        <v>168</v>
      </c>
      <c r="I74" s="37" t="s">
        <v>169</v>
      </c>
      <c r="J74" s="37" t="s">
        <v>169</v>
      </c>
      <c r="K74" s="37" t="s">
        <v>160</v>
      </c>
      <c r="L74" s="37" t="s">
        <v>96</v>
      </c>
      <c r="M74" s="122"/>
      <c r="N74" s="122"/>
      <c r="O74" s="120">
        <v>317.6</v>
      </c>
      <c r="P74" s="120"/>
      <c r="Q74" s="120"/>
      <c r="R74" s="120"/>
      <c r="S74" s="120"/>
      <c r="T74" s="120"/>
      <c r="U74" s="120"/>
      <c r="V74" s="120"/>
      <c r="W74" s="36"/>
    </row>
    <row r="75" spans="1:23" ht="18.75">
      <c r="A75" s="312"/>
      <c r="B75" s="312"/>
      <c r="C75" s="312"/>
      <c r="D75" s="37" t="s">
        <v>154</v>
      </c>
      <c r="E75" s="37" t="s">
        <v>155</v>
      </c>
      <c r="F75" s="37" t="s">
        <v>182</v>
      </c>
      <c r="G75" s="37" t="s">
        <v>158</v>
      </c>
      <c r="H75" s="37" t="s">
        <v>168</v>
      </c>
      <c r="I75" s="37" t="s">
        <v>169</v>
      </c>
      <c r="J75" s="37" t="s">
        <v>169</v>
      </c>
      <c r="K75" s="37" t="s">
        <v>160</v>
      </c>
      <c r="L75" s="37" t="s">
        <v>92</v>
      </c>
      <c r="M75" s="122"/>
      <c r="N75" s="122"/>
      <c r="O75" s="120">
        <v>779.8</v>
      </c>
      <c r="P75" s="120"/>
      <c r="Q75" s="120"/>
      <c r="R75" s="120"/>
      <c r="S75" s="120"/>
      <c r="T75" s="120"/>
      <c r="U75" s="120"/>
      <c r="V75" s="120"/>
      <c r="W75" s="36"/>
    </row>
    <row r="76" spans="1:23" ht="18.75">
      <c r="A76" s="312"/>
      <c r="B76" s="312"/>
      <c r="C76" s="312"/>
      <c r="D76" s="37" t="s">
        <v>154</v>
      </c>
      <c r="E76" s="37" t="s">
        <v>155</v>
      </c>
      <c r="F76" s="37" t="s">
        <v>182</v>
      </c>
      <c r="G76" s="37" t="s">
        <v>169</v>
      </c>
      <c r="H76" s="37" t="s">
        <v>168</v>
      </c>
      <c r="I76" s="37" t="s">
        <v>169</v>
      </c>
      <c r="J76" s="37" t="s">
        <v>169</v>
      </c>
      <c r="K76" s="37" t="s">
        <v>160</v>
      </c>
      <c r="L76" s="37" t="s">
        <v>98</v>
      </c>
      <c r="M76" s="122"/>
      <c r="N76" s="122"/>
      <c r="O76" s="120">
        <v>2.2</v>
      </c>
      <c r="P76" s="120"/>
      <c r="Q76" s="120"/>
      <c r="R76" s="120"/>
      <c r="S76" s="120"/>
      <c r="T76" s="120"/>
      <c r="U76" s="120"/>
      <c r="V76" s="120"/>
      <c r="W76" s="36"/>
    </row>
    <row r="77" spans="1:23" ht="18.75">
      <c r="A77" s="312"/>
      <c r="B77" s="312"/>
      <c r="C77" s="312"/>
      <c r="D77" s="37" t="s">
        <v>154</v>
      </c>
      <c r="E77" s="37" t="s">
        <v>155</v>
      </c>
      <c r="F77" s="37" t="s">
        <v>182</v>
      </c>
      <c r="G77" s="37" t="s">
        <v>186</v>
      </c>
      <c r="H77" s="37" t="s">
        <v>168</v>
      </c>
      <c r="I77" s="37" t="s">
        <v>169</v>
      </c>
      <c r="J77" s="37" t="s">
        <v>169</v>
      </c>
      <c r="K77" s="37" t="s">
        <v>160</v>
      </c>
      <c r="L77" s="37" t="s">
        <v>99</v>
      </c>
      <c r="M77" s="122"/>
      <c r="N77" s="122"/>
      <c r="O77" s="120">
        <v>4.1</v>
      </c>
      <c r="P77" s="120"/>
      <c r="Q77" s="120"/>
      <c r="R77" s="120"/>
      <c r="S77" s="120"/>
      <c r="T77" s="120"/>
      <c r="U77" s="120"/>
      <c r="V77" s="120"/>
      <c r="W77" s="36"/>
    </row>
    <row r="78" spans="1:23" ht="18.75">
      <c r="A78" s="312"/>
      <c r="B78" s="312"/>
      <c r="C78" s="312"/>
      <c r="D78" s="37" t="s">
        <v>154</v>
      </c>
      <c r="E78" s="37" t="s">
        <v>155</v>
      </c>
      <c r="F78" s="37" t="s">
        <v>182</v>
      </c>
      <c r="G78" s="37" t="s">
        <v>187</v>
      </c>
      <c r="H78" s="37" t="s">
        <v>168</v>
      </c>
      <c r="I78" s="37" t="s">
        <v>169</v>
      </c>
      <c r="J78" s="37" t="s">
        <v>169</v>
      </c>
      <c r="K78" s="121" t="s">
        <v>401</v>
      </c>
      <c r="L78" s="121" t="s">
        <v>94</v>
      </c>
      <c r="M78" s="122"/>
      <c r="N78" s="122"/>
      <c r="O78" s="120">
        <v>0</v>
      </c>
      <c r="P78" s="120">
        <v>4567.8</v>
      </c>
      <c r="Q78" s="120">
        <v>4736.9</v>
      </c>
      <c r="R78" s="120">
        <v>4736.9</v>
      </c>
      <c r="S78" s="120">
        <v>4736.9</v>
      </c>
      <c r="T78" s="120">
        <v>4736.9</v>
      </c>
      <c r="U78" s="120">
        <v>4736.9</v>
      </c>
      <c r="V78" s="120">
        <v>4736.9</v>
      </c>
      <c r="W78" s="36"/>
    </row>
    <row r="79" spans="1:23" ht="18.75">
      <c r="A79" s="312"/>
      <c r="B79" s="312"/>
      <c r="C79" s="312"/>
      <c r="D79" s="37" t="s">
        <v>154</v>
      </c>
      <c r="E79" s="37" t="s">
        <v>155</v>
      </c>
      <c r="F79" s="37" t="s">
        <v>182</v>
      </c>
      <c r="G79" s="37" t="s">
        <v>174</v>
      </c>
      <c r="H79" s="37" t="s">
        <v>168</v>
      </c>
      <c r="I79" s="37" t="s">
        <v>169</v>
      </c>
      <c r="J79" s="37" t="s">
        <v>169</v>
      </c>
      <c r="K79" s="121" t="s">
        <v>401</v>
      </c>
      <c r="L79" s="121" t="s">
        <v>95</v>
      </c>
      <c r="M79" s="122"/>
      <c r="N79" s="122"/>
      <c r="O79" s="120">
        <v>0</v>
      </c>
      <c r="P79" s="120">
        <v>19</v>
      </c>
      <c r="Q79" s="120">
        <v>20</v>
      </c>
      <c r="R79" s="120">
        <v>20</v>
      </c>
      <c r="S79" s="120">
        <v>20</v>
      </c>
      <c r="T79" s="120">
        <v>20</v>
      </c>
      <c r="U79" s="120">
        <v>20</v>
      </c>
      <c r="V79" s="120">
        <v>20</v>
      </c>
      <c r="W79" s="36"/>
    </row>
    <row r="80" spans="1:23" ht="18.75">
      <c r="A80" s="312"/>
      <c r="B80" s="312"/>
      <c r="C80" s="312"/>
      <c r="D80" s="37" t="s">
        <v>154</v>
      </c>
      <c r="E80" s="37" t="s">
        <v>155</v>
      </c>
      <c r="F80" s="37" t="s">
        <v>182</v>
      </c>
      <c r="G80" s="37" t="s">
        <v>190</v>
      </c>
      <c r="H80" s="37" t="s">
        <v>168</v>
      </c>
      <c r="I80" s="37" t="s">
        <v>169</v>
      </c>
      <c r="J80" s="37" t="s">
        <v>169</v>
      </c>
      <c r="K80" s="121" t="s">
        <v>401</v>
      </c>
      <c r="L80" s="121" t="s">
        <v>96</v>
      </c>
      <c r="M80" s="122"/>
      <c r="N80" s="122"/>
      <c r="O80" s="120">
        <v>0</v>
      </c>
      <c r="P80" s="120">
        <v>346.2</v>
      </c>
      <c r="Q80" s="120">
        <v>368.2</v>
      </c>
      <c r="R80" s="120">
        <v>388</v>
      </c>
      <c r="S80" s="120">
        <v>388</v>
      </c>
      <c r="T80" s="120">
        <v>388</v>
      </c>
      <c r="U80" s="120">
        <v>388</v>
      </c>
      <c r="V80" s="120">
        <v>388</v>
      </c>
      <c r="W80" s="36"/>
    </row>
    <row r="81" spans="1:23" ht="18.75">
      <c r="A81" s="312"/>
      <c r="B81" s="312"/>
      <c r="C81" s="312"/>
      <c r="D81" s="37" t="s">
        <v>154</v>
      </c>
      <c r="E81" s="37" t="s">
        <v>155</v>
      </c>
      <c r="F81" s="37" t="s">
        <v>182</v>
      </c>
      <c r="G81" s="37" t="s">
        <v>181</v>
      </c>
      <c r="H81" s="37" t="s">
        <v>168</v>
      </c>
      <c r="I81" s="37" t="s">
        <v>169</v>
      </c>
      <c r="J81" s="37" t="s">
        <v>169</v>
      </c>
      <c r="K81" s="121" t="s">
        <v>401</v>
      </c>
      <c r="L81" s="121" t="s">
        <v>92</v>
      </c>
      <c r="M81" s="122"/>
      <c r="N81" s="122"/>
      <c r="O81" s="120">
        <v>0</v>
      </c>
      <c r="P81" s="120">
        <v>864</v>
      </c>
      <c r="Q81" s="120">
        <v>885.9</v>
      </c>
      <c r="R81" s="120">
        <v>913.4</v>
      </c>
      <c r="S81" s="120">
        <v>913.4</v>
      </c>
      <c r="T81" s="120">
        <v>913.4</v>
      </c>
      <c r="U81" s="120">
        <v>913.4</v>
      </c>
      <c r="V81" s="120">
        <v>913.4</v>
      </c>
      <c r="W81" s="36"/>
    </row>
    <row r="82" spans="1:23" ht="18.75">
      <c r="A82" s="312"/>
      <c r="B82" s="312"/>
      <c r="C82" s="312"/>
      <c r="D82" s="37" t="s">
        <v>154</v>
      </c>
      <c r="E82" s="37" t="s">
        <v>155</v>
      </c>
      <c r="F82" s="37" t="s">
        <v>182</v>
      </c>
      <c r="G82" s="37" t="s">
        <v>191</v>
      </c>
      <c r="H82" s="37" t="s">
        <v>168</v>
      </c>
      <c r="I82" s="37" t="s">
        <v>169</v>
      </c>
      <c r="J82" s="37" t="s">
        <v>169</v>
      </c>
      <c r="K82" s="121" t="s">
        <v>401</v>
      </c>
      <c r="L82" s="121" t="s">
        <v>98</v>
      </c>
      <c r="M82" s="122"/>
      <c r="N82" s="122"/>
      <c r="O82" s="120">
        <v>0</v>
      </c>
      <c r="P82" s="120">
        <v>4</v>
      </c>
      <c r="Q82" s="120">
        <v>4</v>
      </c>
      <c r="R82" s="120">
        <v>4</v>
      </c>
      <c r="S82" s="120">
        <v>4</v>
      </c>
      <c r="T82" s="120">
        <v>4</v>
      </c>
      <c r="U82" s="120">
        <v>4</v>
      </c>
      <c r="V82" s="120">
        <v>4</v>
      </c>
      <c r="W82" s="36"/>
    </row>
    <row r="83" spans="1:23" ht="18.75">
      <c r="A83" s="312"/>
      <c r="B83" s="312"/>
      <c r="C83" s="312"/>
      <c r="D83" s="37" t="s">
        <v>154</v>
      </c>
      <c r="E83" s="37" t="s">
        <v>155</v>
      </c>
      <c r="F83" s="37" t="s">
        <v>182</v>
      </c>
      <c r="G83" s="37" t="s">
        <v>159</v>
      </c>
      <c r="H83" s="37" t="s">
        <v>168</v>
      </c>
      <c r="I83" s="37" t="s">
        <v>169</v>
      </c>
      <c r="J83" s="37" t="s">
        <v>169</v>
      </c>
      <c r="K83" s="121" t="s">
        <v>401</v>
      </c>
      <c r="L83" s="121" t="s">
        <v>99</v>
      </c>
      <c r="M83" s="122"/>
      <c r="N83" s="122"/>
      <c r="O83" s="120">
        <v>0</v>
      </c>
      <c r="P83" s="120">
        <v>6</v>
      </c>
      <c r="Q83" s="120">
        <v>6</v>
      </c>
      <c r="R83" s="120">
        <v>6</v>
      </c>
      <c r="S83" s="120">
        <v>6</v>
      </c>
      <c r="T83" s="120">
        <v>6</v>
      </c>
      <c r="U83" s="120">
        <v>6</v>
      </c>
      <c r="V83" s="120">
        <v>6</v>
      </c>
      <c r="W83" s="36"/>
    </row>
    <row r="84" spans="1:23" ht="18.75">
      <c r="A84" s="312"/>
      <c r="B84" s="312"/>
      <c r="C84" s="312"/>
      <c r="D84" s="37" t="s">
        <v>154</v>
      </c>
      <c r="E84" s="37" t="s">
        <v>155</v>
      </c>
      <c r="F84" s="37" t="s">
        <v>182</v>
      </c>
      <c r="G84" s="37" t="s">
        <v>192</v>
      </c>
      <c r="H84" s="37" t="s">
        <v>168</v>
      </c>
      <c r="I84" s="37" t="s">
        <v>187</v>
      </c>
      <c r="J84" s="37" t="s">
        <v>169</v>
      </c>
      <c r="K84" s="121" t="s">
        <v>402</v>
      </c>
      <c r="L84" s="121" t="s">
        <v>95</v>
      </c>
      <c r="M84" s="122"/>
      <c r="N84" s="122"/>
      <c r="O84" s="120">
        <v>0</v>
      </c>
      <c r="P84" s="120">
        <v>9.5</v>
      </c>
      <c r="Q84" s="120">
        <v>9.5</v>
      </c>
      <c r="R84" s="120">
        <v>9.5</v>
      </c>
      <c r="S84" s="120">
        <v>9.5</v>
      </c>
      <c r="T84" s="120">
        <v>9.5</v>
      </c>
      <c r="U84" s="120">
        <v>9.5</v>
      </c>
      <c r="V84" s="120">
        <v>9.5</v>
      </c>
      <c r="W84" s="36"/>
    </row>
    <row r="85" spans="1:23" ht="18.75">
      <c r="A85" s="312"/>
      <c r="B85" s="312"/>
      <c r="C85" s="312"/>
      <c r="D85" s="37" t="s">
        <v>154</v>
      </c>
      <c r="E85" s="37" t="s">
        <v>155</v>
      </c>
      <c r="F85" s="37" t="s">
        <v>182</v>
      </c>
      <c r="G85" s="37" t="s">
        <v>156</v>
      </c>
      <c r="H85" s="37" t="s">
        <v>168</v>
      </c>
      <c r="I85" s="37" t="s">
        <v>187</v>
      </c>
      <c r="J85" s="37" t="s">
        <v>169</v>
      </c>
      <c r="K85" s="121" t="s">
        <v>402</v>
      </c>
      <c r="L85" s="121" t="s">
        <v>92</v>
      </c>
      <c r="M85" s="122"/>
      <c r="N85" s="122"/>
      <c r="O85" s="120">
        <v>0</v>
      </c>
      <c r="P85" s="120">
        <v>30.5</v>
      </c>
      <c r="Q85" s="120">
        <v>30.5</v>
      </c>
      <c r="R85" s="120">
        <v>30.5</v>
      </c>
      <c r="S85" s="120">
        <v>30.5</v>
      </c>
      <c r="T85" s="120">
        <v>30.5</v>
      </c>
      <c r="U85" s="120">
        <v>30.5</v>
      </c>
      <c r="V85" s="120">
        <v>30.5</v>
      </c>
      <c r="W85" s="36"/>
    </row>
    <row r="86" spans="1:23" ht="15.75" customHeight="1">
      <c r="A86" s="288" t="s">
        <v>170</v>
      </c>
      <c r="B86" s="288" t="s">
        <v>64</v>
      </c>
      <c r="C86" s="288" t="s">
        <v>67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2">
        <v>2879.5</v>
      </c>
      <c r="N86" s="122">
        <v>4163.2</v>
      </c>
      <c r="O86" s="120">
        <f>SUM(O87:O94)</f>
        <v>5022.099999999999</v>
      </c>
      <c r="P86" s="120">
        <f>SUM(P95:P100)</f>
        <v>5321.200000000001</v>
      </c>
      <c r="Q86" s="120">
        <f aca="true" t="shared" si="24" ref="Q86:V86">SUM(Q95:Q100)</f>
        <v>5647.7</v>
      </c>
      <c r="R86" s="120">
        <f t="shared" si="24"/>
        <v>5695</v>
      </c>
      <c r="S86" s="120">
        <f t="shared" si="24"/>
        <v>5695</v>
      </c>
      <c r="T86" s="120">
        <f t="shared" si="24"/>
        <v>5695</v>
      </c>
      <c r="U86" s="120">
        <f t="shared" si="24"/>
        <v>5695</v>
      </c>
      <c r="V86" s="120">
        <f t="shared" si="24"/>
        <v>5695</v>
      </c>
      <c r="W86" s="36"/>
    </row>
    <row r="87" spans="1:23" ht="18.75">
      <c r="A87" s="312"/>
      <c r="B87" s="312"/>
      <c r="C87" s="312"/>
      <c r="D87" s="121" t="s">
        <v>154</v>
      </c>
      <c r="E87" s="121" t="s">
        <v>155</v>
      </c>
      <c r="F87" s="121" t="s">
        <v>158</v>
      </c>
      <c r="G87" s="121" t="s">
        <v>155</v>
      </c>
      <c r="H87" s="121" t="s">
        <v>173</v>
      </c>
      <c r="I87" s="121" t="s">
        <v>158</v>
      </c>
      <c r="J87" s="121" t="s">
        <v>174</v>
      </c>
      <c r="K87" s="37" t="s">
        <v>160</v>
      </c>
      <c r="L87" s="37" t="s">
        <v>94</v>
      </c>
      <c r="M87" s="122"/>
      <c r="N87" s="122"/>
      <c r="O87" s="120">
        <v>3986.7</v>
      </c>
      <c r="P87" s="120"/>
      <c r="Q87" s="120"/>
      <c r="R87" s="120"/>
      <c r="S87" s="120"/>
      <c r="T87" s="120"/>
      <c r="U87" s="120"/>
      <c r="V87" s="120"/>
      <c r="W87" s="36"/>
    </row>
    <row r="88" spans="1:23" ht="18.75">
      <c r="A88" s="312"/>
      <c r="B88" s="312"/>
      <c r="C88" s="312"/>
      <c r="D88" s="121" t="s">
        <v>154</v>
      </c>
      <c r="E88" s="121" t="s">
        <v>155</v>
      </c>
      <c r="F88" s="121" t="s">
        <v>158</v>
      </c>
      <c r="G88" s="121" t="s">
        <v>154</v>
      </c>
      <c r="H88" s="121" t="s">
        <v>173</v>
      </c>
      <c r="I88" s="121" t="s">
        <v>158</v>
      </c>
      <c r="J88" s="121" t="s">
        <v>174</v>
      </c>
      <c r="K88" s="37" t="s">
        <v>160</v>
      </c>
      <c r="L88" s="37" t="s">
        <v>95</v>
      </c>
      <c r="M88" s="122"/>
      <c r="N88" s="122"/>
      <c r="O88" s="120">
        <v>54.6</v>
      </c>
      <c r="P88" s="120"/>
      <c r="Q88" s="120"/>
      <c r="R88" s="120"/>
      <c r="S88" s="120"/>
      <c r="T88" s="120"/>
      <c r="U88" s="120"/>
      <c r="V88" s="120"/>
      <c r="W88" s="36"/>
    </row>
    <row r="89" spans="1:23" ht="18.75">
      <c r="A89" s="312"/>
      <c r="B89" s="312"/>
      <c r="C89" s="312"/>
      <c r="D89" s="121" t="s">
        <v>154</v>
      </c>
      <c r="E89" s="121" t="s">
        <v>155</v>
      </c>
      <c r="F89" s="121" t="s">
        <v>158</v>
      </c>
      <c r="G89" s="121" t="s">
        <v>182</v>
      </c>
      <c r="H89" s="121" t="s">
        <v>173</v>
      </c>
      <c r="I89" s="121" t="s">
        <v>158</v>
      </c>
      <c r="J89" s="121" t="s">
        <v>174</v>
      </c>
      <c r="K89" s="37" t="s">
        <v>160</v>
      </c>
      <c r="L89" s="37" t="s">
        <v>96</v>
      </c>
      <c r="M89" s="122"/>
      <c r="N89" s="122"/>
      <c r="O89" s="120">
        <v>257</v>
      </c>
      <c r="P89" s="120"/>
      <c r="Q89" s="120"/>
      <c r="R89" s="120"/>
      <c r="S89" s="120"/>
      <c r="T89" s="120"/>
      <c r="U89" s="120"/>
      <c r="V89" s="120"/>
      <c r="W89" s="36"/>
    </row>
    <row r="90" spans="1:23" ht="18.75">
      <c r="A90" s="312"/>
      <c r="B90" s="312"/>
      <c r="C90" s="312"/>
      <c r="D90" s="121" t="s">
        <v>154</v>
      </c>
      <c r="E90" s="121" t="s">
        <v>155</v>
      </c>
      <c r="F90" s="121" t="s">
        <v>158</v>
      </c>
      <c r="G90" s="121" t="s">
        <v>158</v>
      </c>
      <c r="H90" s="121" t="s">
        <v>173</v>
      </c>
      <c r="I90" s="121" t="s">
        <v>158</v>
      </c>
      <c r="J90" s="121" t="s">
        <v>174</v>
      </c>
      <c r="K90" s="37" t="s">
        <v>160</v>
      </c>
      <c r="L90" s="37" t="s">
        <v>92</v>
      </c>
      <c r="M90" s="122"/>
      <c r="N90" s="122"/>
      <c r="O90" s="120">
        <v>630.8</v>
      </c>
      <c r="P90" s="120"/>
      <c r="Q90" s="120"/>
      <c r="R90" s="120"/>
      <c r="S90" s="120"/>
      <c r="T90" s="120"/>
      <c r="U90" s="120"/>
      <c r="V90" s="120"/>
      <c r="W90" s="36"/>
    </row>
    <row r="91" spans="1:23" ht="18.75">
      <c r="A91" s="312"/>
      <c r="B91" s="312"/>
      <c r="C91" s="312"/>
      <c r="D91" s="121" t="s">
        <v>154</v>
      </c>
      <c r="E91" s="121" t="s">
        <v>155</v>
      </c>
      <c r="F91" s="121" t="s">
        <v>158</v>
      </c>
      <c r="G91" s="121" t="s">
        <v>169</v>
      </c>
      <c r="H91" s="121" t="s">
        <v>173</v>
      </c>
      <c r="I91" s="121" t="s">
        <v>158</v>
      </c>
      <c r="J91" s="121" t="s">
        <v>174</v>
      </c>
      <c r="K91" s="37" t="s">
        <v>160</v>
      </c>
      <c r="L91" s="37" t="s">
        <v>98</v>
      </c>
      <c r="M91" s="122"/>
      <c r="N91" s="122"/>
      <c r="O91" s="120">
        <v>10.5</v>
      </c>
      <c r="P91" s="120"/>
      <c r="Q91" s="120"/>
      <c r="R91" s="120"/>
      <c r="S91" s="120"/>
      <c r="T91" s="120"/>
      <c r="U91" s="120"/>
      <c r="V91" s="120"/>
      <c r="W91" s="36"/>
    </row>
    <row r="92" spans="1:23" ht="18.75">
      <c r="A92" s="312"/>
      <c r="B92" s="312"/>
      <c r="C92" s="312"/>
      <c r="D92" s="121" t="s">
        <v>154</v>
      </c>
      <c r="E92" s="121" t="s">
        <v>155</v>
      </c>
      <c r="F92" s="121" t="s">
        <v>158</v>
      </c>
      <c r="G92" s="121" t="s">
        <v>186</v>
      </c>
      <c r="H92" s="121" t="s">
        <v>173</v>
      </c>
      <c r="I92" s="121" t="s">
        <v>158</v>
      </c>
      <c r="J92" s="121" t="s">
        <v>174</v>
      </c>
      <c r="K92" s="37" t="s">
        <v>160</v>
      </c>
      <c r="L92" s="37" t="s">
        <v>99</v>
      </c>
      <c r="M92" s="122"/>
      <c r="N92" s="122"/>
      <c r="O92" s="120">
        <v>8</v>
      </c>
      <c r="P92" s="120"/>
      <c r="Q92" s="120"/>
      <c r="R92" s="120"/>
      <c r="S92" s="120"/>
      <c r="T92" s="120"/>
      <c r="U92" s="120"/>
      <c r="V92" s="120"/>
      <c r="W92" s="36"/>
    </row>
    <row r="93" spans="1:23" ht="18.75">
      <c r="A93" s="312"/>
      <c r="B93" s="312"/>
      <c r="C93" s="312"/>
      <c r="D93" s="121" t="s">
        <v>154</v>
      </c>
      <c r="E93" s="121" t="s">
        <v>155</v>
      </c>
      <c r="F93" s="121" t="s">
        <v>158</v>
      </c>
      <c r="G93" s="121" t="s">
        <v>187</v>
      </c>
      <c r="H93" s="121" t="s">
        <v>173</v>
      </c>
      <c r="I93" s="121" t="s">
        <v>187</v>
      </c>
      <c r="J93" s="121" t="s">
        <v>169</v>
      </c>
      <c r="K93" s="37" t="s">
        <v>100</v>
      </c>
      <c r="L93" s="37" t="s">
        <v>95</v>
      </c>
      <c r="M93" s="122"/>
      <c r="N93" s="122"/>
      <c r="O93" s="120">
        <v>56.5</v>
      </c>
      <c r="P93" s="120"/>
      <c r="Q93" s="120"/>
      <c r="R93" s="120"/>
      <c r="S93" s="120"/>
      <c r="T93" s="120"/>
      <c r="U93" s="120"/>
      <c r="V93" s="120"/>
      <c r="W93" s="36"/>
    </row>
    <row r="94" spans="1:23" ht="18.75">
      <c r="A94" s="312"/>
      <c r="B94" s="312"/>
      <c r="C94" s="312"/>
      <c r="D94" s="121" t="s">
        <v>154</v>
      </c>
      <c r="E94" s="121" t="s">
        <v>155</v>
      </c>
      <c r="F94" s="121" t="s">
        <v>158</v>
      </c>
      <c r="G94" s="121" t="s">
        <v>174</v>
      </c>
      <c r="H94" s="121" t="s">
        <v>173</v>
      </c>
      <c r="I94" s="121" t="s">
        <v>187</v>
      </c>
      <c r="J94" s="121" t="s">
        <v>169</v>
      </c>
      <c r="K94" s="37" t="s">
        <v>100</v>
      </c>
      <c r="L94" s="37" t="s">
        <v>92</v>
      </c>
      <c r="M94" s="122"/>
      <c r="N94" s="122"/>
      <c r="O94" s="120">
        <v>18</v>
      </c>
      <c r="P94" s="120"/>
      <c r="Q94" s="120"/>
      <c r="R94" s="120"/>
      <c r="S94" s="120"/>
      <c r="T94" s="120"/>
      <c r="U94" s="120"/>
      <c r="V94" s="120"/>
      <c r="W94" s="36"/>
    </row>
    <row r="95" spans="1:23" ht="18.75">
      <c r="A95" s="312"/>
      <c r="B95" s="312"/>
      <c r="C95" s="312"/>
      <c r="D95" s="121" t="s">
        <v>154</v>
      </c>
      <c r="E95" s="121" t="s">
        <v>155</v>
      </c>
      <c r="F95" s="121" t="s">
        <v>158</v>
      </c>
      <c r="G95" s="121" t="s">
        <v>190</v>
      </c>
      <c r="H95" s="121" t="s">
        <v>173</v>
      </c>
      <c r="I95" s="121" t="s">
        <v>158</v>
      </c>
      <c r="J95" s="121" t="s">
        <v>174</v>
      </c>
      <c r="K95" s="121" t="s">
        <v>400</v>
      </c>
      <c r="L95" s="121" t="s">
        <v>94</v>
      </c>
      <c r="M95" s="122"/>
      <c r="N95" s="122"/>
      <c r="O95" s="120">
        <v>0</v>
      </c>
      <c r="P95" s="120">
        <v>4359.1</v>
      </c>
      <c r="Q95" s="120">
        <v>4520.7</v>
      </c>
      <c r="R95" s="120">
        <v>4520.7</v>
      </c>
      <c r="S95" s="120">
        <v>4520.7</v>
      </c>
      <c r="T95" s="120">
        <v>4520.7</v>
      </c>
      <c r="U95" s="120">
        <v>4520.7</v>
      </c>
      <c r="V95" s="120">
        <v>4520.7</v>
      </c>
      <c r="W95" s="36"/>
    </row>
    <row r="96" spans="1:23" ht="18.75">
      <c r="A96" s="312"/>
      <c r="B96" s="312"/>
      <c r="C96" s="312"/>
      <c r="D96" s="121" t="s">
        <v>154</v>
      </c>
      <c r="E96" s="121" t="s">
        <v>155</v>
      </c>
      <c r="F96" s="121" t="s">
        <v>158</v>
      </c>
      <c r="G96" s="121" t="s">
        <v>181</v>
      </c>
      <c r="H96" s="121" t="s">
        <v>173</v>
      </c>
      <c r="I96" s="121" t="s">
        <v>158</v>
      </c>
      <c r="J96" s="121" t="s">
        <v>174</v>
      </c>
      <c r="K96" s="121" t="s">
        <v>400</v>
      </c>
      <c r="L96" s="121" t="s">
        <v>95</v>
      </c>
      <c r="M96" s="122"/>
      <c r="N96" s="122"/>
      <c r="O96" s="120">
        <v>0</v>
      </c>
      <c r="P96" s="120">
        <v>65</v>
      </c>
      <c r="Q96" s="120">
        <v>73</v>
      </c>
      <c r="R96" s="120">
        <v>73</v>
      </c>
      <c r="S96" s="120">
        <v>73</v>
      </c>
      <c r="T96" s="120">
        <v>73</v>
      </c>
      <c r="U96" s="120">
        <v>73</v>
      </c>
      <c r="V96" s="120">
        <v>73</v>
      </c>
      <c r="W96" s="36"/>
    </row>
    <row r="97" spans="1:23" ht="18.75">
      <c r="A97" s="312"/>
      <c r="B97" s="312"/>
      <c r="C97" s="312"/>
      <c r="D97" s="121" t="s">
        <v>154</v>
      </c>
      <c r="E97" s="121" t="s">
        <v>155</v>
      </c>
      <c r="F97" s="121" t="s">
        <v>158</v>
      </c>
      <c r="G97" s="121" t="s">
        <v>191</v>
      </c>
      <c r="H97" s="121" t="s">
        <v>173</v>
      </c>
      <c r="I97" s="121" t="s">
        <v>158</v>
      </c>
      <c r="J97" s="121" t="s">
        <v>174</v>
      </c>
      <c r="K97" s="121" t="s">
        <v>400</v>
      </c>
      <c r="L97" s="121" t="s">
        <v>96</v>
      </c>
      <c r="M97" s="122"/>
      <c r="N97" s="122"/>
      <c r="O97" s="120">
        <v>0</v>
      </c>
      <c r="P97" s="120">
        <v>287</v>
      </c>
      <c r="Q97" s="120">
        <v>303</v>
      </c>
      <c r="R97" s="120">
        <v>303</v>
      </c>
      <c r="S97" s="120">
        <v>303</v>
      </c>
      <c r="T97" s="120">
        <v>303</v>
      </c>
      <c r="U97" s="120">
        <v>303</v>
      </c>
      <c r="V97" s="120">
        <v>303</v>
      </c>
      <c r="W97" s="36"/>
    </row>
    <row r="98" spans="1:23" ht="18.75">
      <c r="A98" s="312"/>
      <c r="B98" s="312"/>
      <c r="C98" s="312"/>
      <c r="D98" s="121" t="s">
        <v>154</v>
      </c>
      <c r="E98" s="121" t="s">
        <v>155</v>
      </c>
      <c r="F98" s="121" t="s">
        <v>158</v>
      </c>
      <c r="G98" s="121" t="s">
        <v>159</v>
      </c>
      <c r="H98" s="121" t="s">
        <v>173</v>
      </c>
      <c r="I98" s="121" t="s">
        <v>158</v>
      </c>
      <c r="J98" s="121" t="s">
        <v>174</v>
      </c>
      <c r="K98" s="121" t="s">
        <v>400</v>
      </c>
      <c r="L98" s="121" t="s">
        <v>92</v>
      </c>
      <c r="M98" s="122"/>
      <c r="N98" s="122"/>
      <c r="O98" s="120">
        <v>0</v>
      </c>
      <c r="P98" s="120">
        <v>591.6</v>
      </c>
      <c r="Q98" s="120">
        <v>732.5</v>
      </c>
      <c r="R98" s="120">
        <v>779.8</v>
      </c>
      <c r="S98" s="120">
        <v>779.8</v>
      </c>
      <c r="T98" s="120">
        <v>779.8</v>
      </c>
      <c r="U98" s="120">
        <v>779.8</v>
      </c>
      <c r="V98" s="120">
        <v>779.8</v>
      </c>
      <c r="W98" s="36"/>
    </row>
    <row r="99" spans="1:23" ht="18.75">
      <c r="A99" s="312"/>
      <c r="B99" s="312"/>
      <c r="C99" s="312"/>
      <c r="D99" s="121" t="s">
        <v>154</v>
      </c>
      <c r="E99" s="121" t="s">
        <v>155</v>
      </c>
      <c r="F99" s="121" t="s">
        <v>158</v>
      </c>
      <c r="G99" s="121" t="s">
        <v>192</v>
      </c>
      <c r="H99" s="121" t="s">
        <v>173</v>
      </c>
      <c r="I99" s="121" t="s">
        <v>158</v>
      </c>
      <c r="J99" s="121" t="s">
        <v>174</v>
      </c>
      <c r="K99" s="121" t="s">
        <v>400</v>
      </c>
      <c r="L99" s="121" t="s">
        <v>98</v>
      </c>
      <c r="M99" s="122"/>
      <c r="N99" s="122"/>
      <c r="O99" s="120">
        <v>0</v>
      </c>
      <c r="P99" s="120">
        <v>10.5</v>
      </c>
      <c r="Q99" s="120">
        <v>10.5</v>
      </c>
      <c r="R99" s="120">
        <v>10.5</v>
      </c>
      <c r="S99" s="120">
        <v>10.5</v>
      </c>
      <c r="T99" s="120">
        <v>10.5</v>
      </c>
      <c r="U99" s="120">
        <v>10.5</v>
      </c>
      <c r="V99" s="120">
        <v>10.5</v>
      </c>
      <c r="W99" s="36"/>
    </row>
    <row r="100" spans="1:23" ht="18.75">
      <c r="A100" s="289"/>
      <c r="B100" s="289"/>
      <c r="C100" s="289"/>
      <c r="D100" s="121" t="s">
        <v>154</v>
      </c>
      <c r="E100" s="121" t="s">
        <v>155</v>
      </c>
      <c r="F100" s="121" t="s">
        <v>158</v>
      </c>
      <c r="G100" s="121" t="s">
        <v>156</v>
      </c>
      <c r="H100" s="121" t="s">
        <v>173</v>
      </c>
      <c r="I100" s="121" t="s">
        <v>158</v>
      </c>
      <c r="J100" s="121" t="s">
        <v>174</v>
      </c>
      <c r="K100" s="121" t="s">
        <v>400</v>
      </c>
      <c r="L100" s="121" t="s">
        <v>99</v>
      </c>
      <c r="M100" s="122"/>
      <c r="N100" s="122"/>
      <c r="O100" s="120">
        <v>0</v>
      </c>
      <c r="P100" s="120">
        <v>8</v>
      </c>
      <c r="Q100" s="120">
        <v>8</v>
      </c>
      <c r="R100" s="120">
        <v>8</v>
      </c>
      <c r="S100" s="120">
        <v>8</v>
      </c>
      <c r="T100" s="120">
        <v>8</v>
      </c>
      <c r="U100" s="120">
        <v>8</v>
      </c>
      <c r="V100" s="120">
        <v>8</v>
      </c>
      <c r="W100" s="36"/>
    </row>
    <row r="101" spans="1:23" ht="15.75">
      <c r="A101" s="288" t="s">
        <v>175</v>
      </c>
      <c r="B101" s="329" t="s">
        <v>176</v>
      </c>
      <c r="C101" s="130" t="s">
        <v>135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22" t="e">
        <f>SUM(M102:M122)</f>
        <v>#REF!</v>
      </c>
      <c r="N101" s="122" t="e">
        <f aca="true" t="shared" si="25" ref="N101:V101">SUM(N102:N122)</f>
        <v>#REF!</v>
      </c>
      <c r="O101" s="120">
        <f>SUM(O102:O122)</f>
        <v>1016009.2999999999</v>
      </c>
      <c r="P101" s="120">
        <f>SUM(P102:P122)</f>
        <v>204025.2</v>
      </c>
      <c r="Q101" s="120">
        <f t="shared" si="25"/>
        <v>163681</v>
      </c>
      <c r="R101" s="120">
        <f t="shared" si="25"/>
        <v>172504</v>
      </c>
      <c r="S101" s="120">
        <f t="shared" si="25"/>
        <v>172504</v>
      </c>
      <c r="T101" s="120">
        <f t="shared" si="25"/>
        <v>172504</v>
      </c>
      <c r="U101" s="120">
        <f t="shared" si="25"/>
        <v>172504</v>
      </c>
      <c r="V101" s="120">
        <f t="shared" si="25"/>
        <v>172504</v>
      </c>
      <c r="W101" s="36"/>
    </row>
    <row r="102" spans="1:23" ht="47.25">
      <c r="A102" s="312"/>
      <c r="B102" s="330"/>
      <c r="C102" s="14" t="s">
        <v>177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5" t="e">
        <f>M127+M128+#REF!+M148+M151+M184+M186+#REF!+#REF!+M34</f>
        <v>#REF!</v>
      </c>
      <c r="N102" s="35" t="e">
        <f>N127+N128+#REF!+N148+N151+N184+N186+#REF!+#REF!+N34</f>
        <v>#REF!</v>
      </c>
      <c r="O102" s="44">
        <f>O129+O148+O152+O182+O186+O222+O231+O237+O145+O146+O147+O235</f>
        <v>842683.7</v>
      </c>
      <c r="P102" s="44">
        <f>P129+P148+P152+P182+P186+P222+P231+P237+P145+P146+P147+P235</f>
        <v>185234.2</v>
      </c>
      <c r="Q102" s="44">
        <f aca="true" t="shared" si="26" ref="Q102:V102">Q129+Q148+Q152+Q182+Q186+Q222+Q231+Q237+Q145+Q146+Q147+Q235</f>
        <v>155181</v>
      </c>
      <c r="R102" s="44">
        <f t="shared" si="26"/>
        <v>164004</v>
      </c>
      <c r="S102" s="44">
        <f t="shared" si="26"/>
        <v>164004</v>
      </c>
      <c r="T102" s="44">
        <f t="shared" si="26"/>
        <v>164004</v>
      </c>
      <c r="U102" s="44">
        <f t="shared" si="26"/>
        <v>164004</v>
      </c>
      <c r="V102" s="44">
        <f t="shared" si="26"/>
        <v>164004</v>
      </c>
      <c r="W102" s="36"/>
    </row>
    <row r="103" spans="1:23" ht="47.25">
      <c r="A103" s="312"/>
      <c r="B103" s="330"/>
      <c r="C103" s="14" t="s">
        <v>178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5" t="e">
        <f>#REF!+M71</f>
        <v>#REF!</v>
      </c>
      <c r="N103" s="35" t="e">
        <f>#REF!+N71</f>
        <v>#REF!</v>
      </c>
      <c r="O103" s="44"/>
      <c r="P103" s="44"/>
      <c r="Q103" s="44"/>
      <c r="R103" s="44"/>
      <c r="S103" s="44"/>
      <c r="T103" s="44"/>
      <c r="U103" s="44"/>
      <c r="V103" s="44"/>
      <c r="W103" s="36"/>
    </row>
    <row r="104" spans="1:23" ht="117.75" customHeight="1">
      <c r="A104" s="312"/>
      <c r="B104" s="330"/>
      <c r="C104" s="14" t="s">
        <v>136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 t="e">
        <f>#REF!+M86</f>
        <v>#REF!</v>
      </c>
      <c r="N104" s="35" t="e">
        <f>#REF!+N86</f>
        <v>#REF!</v>
      </c>
      <c r="O104" s="44">
        <v>0</v>
      </c>
      <c r="P104" s="44">
        <v>0</v>
      </c>
      <c r="Q104" s="44">
        <f aca="true" t="shared" si="27" ref="Q104:V104">Q314</f>
        <v>0</v>
      </c>
      <c r="R104" s="44">
        <f t="shared" si="27"/>
        <v>0</v>
      </c>
      <c r="S104" s="44">
        <f t="shared" si="27"/>
        <v>0</v>
      </c>
      <c r="T104" s="44">
        <f t="shared" si="27"/>
        <v>0</v>
      </c>
      <c r="U104" s="44">
        <f t="shared" si="27"/>
        <v>0</v>
      </c>
      <c r="V104" s="44">
        <f t="shared" si="27"/>
        <v>0</v>
      </c>
      <c r="W104" s="36"/>
    </row>
    <row r="105" spans="1:23" ht="47.25">
      <c r="A105" s="312"/>
      <c r="B105" s="330"/>
      <c r="C105" s="14" t="s">
        <v>137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5" t="e">
        <f>#REF!</f>
        <v>#REF!</v>
      </c>
      <c r="N105" s="35" t="e">
        <f>#REF!</f>
        <v>#REF!</v>
      </c>
      <c r="O105" s="44"/>
      <c r="P105" s="44"/>
      <c r="Q105" s="44"/>
      <c r="R105" s="44"/>
      <c r="S105" s="44"/>
      <c r="T105" s="44"/>
      <c r="U105" s="44"/>
      <c r="V105" s="44"/>
      <c r="W105" s="36"/>
    </row>
    <row r="106" spans="1:23" ht="47.25">
      <c r="A106" s="312"/>
      <c r="B106" s="330"/>
      <c r="C106" s="14" t="s">
        <v>138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5" t="e">
        <f>#REF!</f>
        <v>#REF!</v>
      </c>
      <c r="N106" s="35" t="e">
        <f>#REF!</f>
        <v>#REF!</v>
      </c>
      <c r="O106" s="44"/>
      <c r="P106" s="44"/>
      <c r="Q106" s="44"/>
      <c r="R106" s="44"/>
      <c r="S106" s="44"/>
      <c r="T106" s="44"/>
      <c r="U106" s="44"/>
      <c r="V106" s="44"/>
      <c r="W106" s="36"/>
    </row>
    <row r="107" spans="1:23" ht="47.25">
      <c r="A107" s="312"/>
      <c r="B107" s="330"/>
      <c r="C107" s="14" t="s">
        <v>139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5" t="e">
        <f>#REF!</f>
        <v>#REF!</v>
      </c>
      <c r="N107" s="35" t="e">
        <f>#REF!</f>
        <v>#REF!</v>
      </c>
      <c r="O107" s="44"/>
      <c r="P107" s="44"/>
      <c r="Q107" s="44"/>
      <c r="R107" s="44"/>
      <c r="S107" s="44"/>
      <c r="T107" s="44"/>
      <c r="U107" s="44"/>
      <c r="V107" s="44"/>
      <c r="W107" s="36"/>
    </row>
    <row r="108" spans="1:23" ht="94.5">
      <c r="A108" s="312"/>
      <c r="B108" s="330"/>
      <c r="C108" s="14" t="s">
        <v>140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5" t="e">
        <f>#REF!</f>
        <v>#REF!</v>
      </c>
      <c r="N108" s="35" t="e">
        <f>#REF!</f>
        <v>#REF!</v>
      </c>
      <c r="O108" s="44"/>
      <c r="P108" s="44"/>
      <c r="Q108" s="44"/>
      <c r="R108" s="44"/>
      <c r="S108" s="44"/>
      <c r="T108" s="44"/>
      <c r="U108" s="44"/>
      <c r="V108" s="44"/>
      <c r="W108" s="36"/>
    </row>
    <row r="109" spans="1:23" ht="31.5">
      <c r="A109" s="312"/>
      <c r="B109" s="330"/>
      <c r="C109" s="14" t="s">
        <v>60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5" t="e">
        <f>#REF!+M54+M255</f>
        <v>#REF!</v>
      </c>
      <c r="N109" s="35" t="e">
        <f>#REF!+N54+N255</f>
        <v>#REF!</v>
      </c>
      <c r="O109" s="44">
        <f>O220</f>
        <v>0</v>
      </c>
      <c r="P109" s="44">
        <f aca="true" t="shared" si="28" ref="P109:V109">P220</f>
        <v>1000</v>
      </c>
      <c r="Q109" s="44">
        <f t="shared" si="28"/>
        <v>0</v>
      </c>
      <c r="R109" s="44">
        <f t="shared" si="28"/>
        <v>0</v>
      </c>
      <c r="S109" s="44">
        <f t="shared" si="28"/>
        <v>0</v>
      </c>
      <c r="T109" s="44">
        <f t="shared" si="28"/>
        <v>0</v>
      </c>
      <c r="U109" s="44">
        <f t="shared" si="28"/>
        <v>0</v>
      </c>
      <c r="V109" s="44">
        <f t="shared" si="28"/>
        <v>0</v>
      </c>
      <c r="W109" s="36"/>
    </row>
    <row r="110" spans="1:23" ht="63">
      <c r="A110" s="312"/>
      <c r="B110" s="330"/>
      <c r="C110" s="14" t="s">
        <v>141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5" t="e">
        <f>#REF!</f>
        <v>#REF!</v>
      </c>
      <c r="N110" s="35" t="e">
        <f>#REF!</f>
        <v>#REF!</v>
      </c>
      <c r="O110" s="44"/>
      <c r="P110" s="44"/>
      <c r="Q110" s="44"/>
      <c r="R110" s="44"/>
      <c r="S110" s="44"/>
      <c r="T110" s="44"/>
      <c r="U110" s="44"/>
      <c r="V110" s="44"/>
      <c r="W110" s="36"/>
    </row>
    <row r="111" spans="1:23" ht="75" customHeight="1">
      <c r="A111" s="312"/>
      <c r="B111" s="330"/>
      <c r="C111" s="14" t="s">
        <v>150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5" t="e">
        <f>#REF!</f>
        <v>#REF!</v>
      </c>
      <c r="N111" s="35" t="e">
        <f>#REF!</f>
        <v>#REF!</v>
      </c>
      <c r="O111" s="44"/>
      <c r="P111" s="44"/>
      <c r="Q111" s="44"/>
      <c r="R111" s="44"/>
      <c r="S111" s="44"/>
      <c r="T111" s="44"/>
      <c r="U111" s="44"/>
      <c r="V111" s="44"/>
      <c r="W111" s="36"/>
    </row>
    <row r="112" spans="1:23" ht="47.25">
      <c r="A112" s="312"/>
      <c r="B112" s="330"/>
      <c r="C112" s="14" t="s">
        <v>114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5" t="e">
        <f>#REF!</f>
        <v>#REF!</v>
      </c>
      <c r="N112" s="35" t="e">
        <f>#REF!</f>
        <v>#REF!</v>
      </c>
      <c r="O112" s="44">
        <f>O176</f>
        <v>2750</v>
      </c>
      <c r="P112" s="44"/>
      <c r="Q112" s="44"/>
      <c r="R112" s="44"/>
      <c r="S112" s="44"/>
      <c r="T112" s="44"/>
      <c r="U112" s="44"/>
      <c r="V112" s="44"/>
      <c r="W112" s="36"/>
    </row>
    <row r="113" spans="1:23" ht="63">
      <c r="A113" s="312"/>
      <c r="B113" s="330"/>
      <c r="C113" s="14" t="s">
        <v>142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5" t="e">
        <f>#REF!+#REF!+#REF!+#REF!</f>
        <v>#REF!</v>
      </c>
      <c r="N113" s="35" t="e">
        <f>#REF!+#REF!+#REF!+#REF!</f>
        <v>#REF!</v>
      </c>
      <c r="O113" s="44">
        <f>O144</f>
        <v>14850</v>
      </c>
      <c r="P113" s="44">
        <f aca="true" t="shared" si="29" ref="P113:V113">P144</f>
        <v>0</v>
      </c>
      <c r="Q113" s="44">
        <f t="shared" si="29"/>
        <v>0</v>
      </c>
      <c r="R113" s="44">
        <f t="shared" si="29"/>
        <v>0</v>
      </c>
      <c r="S113" s="44">
        <f t="shared" si="29"/>
        <v>0</v>
      </c>
      <c r="T113" s="44">
        <f t="shared" si="29"/>
        <v>0</v>
      </c>
      <c r="U113" s="44">
        <f t="shared" si="29"/>
        <v>0</v>
      </c>
      <c r="V113" s="44">
        <f t="shared" si="29"/>
        <v>0</v>
      </c>
      <c r="W113" s="36"/>
    </row>
    <row r="114" spans="1:23" ht="47.25">
      <c r="A114" s="312"/>
      <c r="B114" s="330"/>
      <c r="C114" s="14" t="s">
        <v>143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5" t="e">
        <f>#REF!</f>
        <v>#REF!</v>
      </c>
      <c r="N114" s="35" t="e">
        <f>#REF!</f>
        <v>#REF!</v>
      </c>
      <c r="O114" s="44">
        <f>O181</f>
        <v>1280</v>
      </c>
      <c r="P114" s="44"/>
      <c r="Q114" s="44"/>
      <c r="R114" s="44"/>
      <c r="S114" s="44"/>
      <c r="T114" s="44"/>
      <c r="U114" s="44"/>
      <c r="V114" s="44"/>
      <c r="W114" s="36"/>
    </row>
    <row r="115" spans="1:23" ht="47.25">
      <c r="A115" s="312"/>
      <c r="B115" s="330"/>
      <c r="C115" s="14" t="s">
        <v>144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5" t="e">
        <f>#REF!</f>
        <v>#REF!</v>
      </c>
      <c r="N115" s="35" t="e">
        <f>#REF!</f>
        <v>#REF!</v>
      </c>
      <c r="O115" s="44"/>
      <c r="P115" s="44"/>
      <c r="Q115" s="44"/>
      <c r="R115" s="44"/>
      <c r="S115" s="44"/>
      <c r="T115" s="44"/>
      <c r="U115" s="44"/>
      <c r="V115" s="44"/>
      <c r="W115" s="36"/>
    </row>
    <row r="116" spans="1:23" ht="63">
      <c r="A116" s="312"/>
      <c r="B116" s="330"/>
      <c r="C116" s="14" t="s">
        <v>145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5" t="e">
        <f>M123+#REF!</f>
        <v>#REF!</v>
      </c>
      <c r="N116" s="35" t="e">
        <f>N123+#REF!</f>
        <v>#REF!</v>
      </c>
      <c r="O116" s="144">
        <f>O123+O141+O127+O175</f>
        <v>21498.7</v>
      </c>
      <c r="P116" s="44">
        <f aca="true" t="shared" si="30" ref="P116:V116">P123+P141+P127</f>
        <v>8500</v>
      </c>
      <c r="Q116" s="44">
        <f t="shared" si="30"/>
        <v>8500</v>
      </c>
      <c r="R116" s="44">
        <f t="shared" si="30"/>
        <v>8500</v>
      </c>
      <c r="S116" s="44">
        <f t="shared" si="30"/>
        <v>8500</v>
      </c>
      <c r="T116" s="44">
        <f t="shared" si="30"/>
        <v>8500</v>
      </c>
      <c r="U116" s="44">
        <f t="shared" si="30"/>
        <v>8500</v>
      </c>
      <c r="V116" s="44">
        <f t="shared" si="30"/>
        <v>8500</v>
      </c>
      <c r="W116" s="36"/>
    </row>
    <row r="117" spans="1:23" ht="47.25">
      <c r="A117" s="312"/>
      <c r="B117" s="330"/>
      <c r="C117" s="14" t="s">
        <v>146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5" t="e">
        <f>#REF!</f>
        <v>#REF!</v>
      </c>
      <c r="N117" s="35" t="e">
        <f>#REF!</f>
        <v>#REF!</v>
      </c>
      <c r="O117" s="44"/>
      <c r="P117" s="44"/>
      <c r="Q117" s="44"/>
      <c r="R117" s="44"/>
      <c r="S117" s="44"/>
      <c r="T117" s="44"/>
      <c r="U117" s="44"/>
      <c r="V117" s="44"/>
      <c r="W117" s="36"/>
    </row>
    <row r="118" spans="1:23" ht="47.25">
      <c r="A118" s="312"/>
      <c r="B118" s="330"/>
      <c r="C118" s="14" t="s">
        <v>147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5" t="e">
        <f>#REF!</f>
        <v>#REF!</v>
      </c>
      <c r="N118" s="35" t="e">
        <f>#REF!</f>
        <v>#REF!</v>
      </c>
      <c r="O118" s="44">
        <f>O177</f>
        <v>2200</v>
      </c>
      <c r="P118" s="44"/>
      <c r="Q118" s="44"/>
      <c r="R118" s="44"/>
      <c r="S118" s="44"/>
      <c r="T118" s="44"/>
      <c r="U118" s="44"/>
      <c r="V118" s="44"/>
      <c r="W118" s="36"/>
    </row>
    <row r="119" spans="1:23" ht="63">
      <c r="A119" s="312"/>
      <c r="B119" s="330"/>
      <c r="C119" s="14" t="s">
        <v>148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5" t="e">
        <f>#REF!</f>
        <v>#REF!</v>
      </c>
      <c r="N119" s="35" t="e">
        <f>#REF!</f>
        <v>#REF!</v>
      </c>
      <c r="O119" s="44"/>
      <c r="P119" s="44"/>
      <c r="Q119" s="44"/>
      <c r="R119" s="44"/>
      <c r="S119" s="44"/>
      <c r="T119" s="44"/>
      <c r="U119" s="44"/>
      <c r="V119" s="44"/>
      <c r="W119" s="36"/>
    </row>
    <row r="120" spans="1:23" ht="47.25">
      <c r="A120" s="312"/>
      <c r="B120" s="330"/>
      <c r="C120" s="14" t="s">
        <v>149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5" t="e">
        <f>#REF!</f>
        <v>#REF!</v>
      </c>
      <c r="N120" s="35" t="e">
        <f>#REF!</f>
        <v>#REF!</v>
      </c>
      <c r="O120" s="44"/>
      <c r="P120" s="44"/>
      <c r="Q120" s="44"/>
      <c r="R120" s="44"/>
      <c r="S120" s="44"/>
      <c r="T120" s="44"/>
      <c r="U120" s="44"/>
      <c r="V120" s="44"/>
      <c r="W120" s="36"/>
    </row>
    <row r="121" spans="1:23" ht="135">
      <c r="A121" s="312"/>
      <c r="B121" s="330"/>
      <c r="C121" s="131" t="s">
        <v>106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5" t="e">
        <f>M195+M201+#REF!</f>
        <v>#REF!</v>
      </c>
      <c r="N121" s="35" t="e">
        <f>N195+N201+#REF!</f>
        <v>#REF!</v>
      </c>
      <c r="O121" s="44">
        <f>O195+O201+O245</f>
        <v>130746.9</v>
      </c>
      <c r="P121" s="44">
        <f aca="true" t="shared" si="31" ref="P121:V121">P195+P201+P245</f>
        <v>9291</v>
      </c>
      <c r="Q121" s="44">
        <f t="shared" si="31"/>
        <v>0</v>
      </c>
      <c r="R121" s="44">
        <f t="shared" si="31"/>
        <v>0</v>
      </c>
      <c r="S121" s="44">
        <f t="shared" si="31"/>
        <v>0</v>
      </c>
      <c r="T121" s="44">
        <f t="shared" si="31"/>
        <v>0</v>
      </c>
      <c r="U121" s="44">
        <f t="shared" si="31"/>
        <v>0</v>
      </c>
      <c r="V121" s="44">
        <f t="shared" si="31"/>
        <v>0</v>
      </c>
      <c r="W121" s="36"/>
    </row>
    <row r="122" spans="1:23" ht="31.5">
      <c r="A122" s="289"/>
      <c r="B122" s="331"/>
      <c r="C122" s="14" t="s">
        <v>151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5" t="e">
        <f>#REF!</f>
        <v>#REF!</v>
      </c>
      <c r="N122" s="35" t="e">
        <f>#REF!</f>
        <v>#REF!</v>
      </c>
      <c r="O122" s="44"/>
      <c r="P122" s="44"/>
      <c r="Q122" s="44"/>
      <c r="R122" s="44"/>
      <c r="S122" s="44"/>
      <c r="T122" s="44"/>
      <c r="U122" s="44"/>
      <c r="V122" s="44"/>
      <c r="W122" s="36"/>
    </row>
    <row r="123" spans="1:23" ht="63" customHeight="1">
      <c r="A123" s="315" t="s">
        <v>179</v>
      </c>
      <c r="B123" s="288" t="s">
        <v>587</v>
      </c>
      <c r="C123" s="288" t="s">
        <v>69</v>
      </c>
      <c r="D123" s="37" t="s">
        <v>154</v>
      </c>
      <c r="E123" s="37" t="s">
        <v>155</v>
      </c>
      <c r="F123" s="37"/>
      <c r="G123" s="37"/>
      <c r="H123" s="37" t="s">
        <v>180</v>
      </c>
      <c r="I123" s="37"/>
      <c r="J123" s="37"/>
      <c r="K123" s="37"/>
      <c r="L123" s="37"/>
      <c r="M123" s="35">
        <v>51250.16</v>
      </c>
      <c r="N123" s="35">
        <v>36021.3</v>
      </c>
      <c r="O123" s="44">
        <f>O124+O125</f>
        <v>10184.7</v>
      </c>
      <c r="P123" s="44">
        <f>P126</f>
        <v>4500</v>
      </c>
      <c r="Q123" s="44">
        <f aca="true" t="shared" si="32" ref="Q123:V123">Q126</f>
        <v>4500</v>
      </c>
      <c r="R123" s="44">
        <f t="shared" si="32"/>
        <v>4500</v>
      </c>
      <c r="S123" s="44">
        <f t="shared" si="32"/>
        <v>4500</v>
      </c>
      <c r="T123" s="44">
        <f t="shared" si="32"/>
        <v>4500</v>
      </c>
      <c r="U123" s="44">
        <f t="shared" si="32"/>
        <v>4500</v>
      </c>
      <c r="V123" s="44">
        <f t="shared" si="32"/>
        <v>4500</v>
      </c>
      <c r="W123" s="36"/>
    </row>
    <row r="124" spans="1:24" ht="18.75">
      <c r="A124" s="316"/>
      <c r="B124" s="312"/>
      <c r="C124" s="312"/>
      <c r="D124" s="37" t="s">
        <v>154</v>
      </c>
      <c r="E124" s="37" t="s">
        <v>155</v>
      </c>
      <c r="F124" s="37" t="s">
        <v>169</v>
      </c>
      <c r="G124" s="37" t="s">
        <v>155</v>
      </c>
      <c r="H124" s="37" t="s">
        <v>180</v>
      </c>
      <c r="I124" s="37" t="s">
        <v>181</v>
      </c>
      <c r="J124" s="37" t="s">
        <v>182</v>
      </c>
      <c r="K124" s="37" t="s">
        <v>93</v>
      </c>
      <c r="L124" s="37" t="s">
        <v>184</v>
      </c>
      <c r="M124" s="35"/>
      <c r="N124" s="35"/>
      <c r="O124" s="44">
        <v>5374.4</v>
      </c>
      <c r="P124" s="44"/>
      <c r="Q124" s="44"/>
      <c r="R124" s="44"/>
      <c r="S124" s="44"/>
      <c r="T124" s="44"/>
      <c r="U124" s="44"/>
      <c r="V124" s="44"/>
      <c r="W124" s="36"/>
      <c r="X124" s="10" t="s">
        <v>439</v>
      </c>
    </row>
    <row r="125" spans="1:23" ht="18.75">
      <c r="A125" s="316"/>
      <c r="B125" s="312"/>
      <c r="C125" s="312"/>
      <c r="D125" s="37" t="s">
        <v>154</v>
      </c>
      <c r="E125" s="37" t="s">
        <v>155</v>
      </c>
      <c r="F125" s="37" t="s">
        <v>169</v>
      </c>
      <c r="G125" s="37" t="s">
        <v>154</v>
      </c>
      <c r="H125" s="37" t="s">
        <v>180</v>
      </c>
      <c r="I125" s="37" t="s">
        <v>181</v>
      </c>
      <c r="J125" s="37" t="s">
        <v>182</v>
      </c>
      <c r="K125" s="37" t="s">
        <v>183</v>
      </c>
      <c r="L125" s="37" t="s">
        <v>184</v>
      </c>
      <c r="M125" s="35"/>
      <c r="N125" s="35"/>
      <c r="O125" s="44">
        <v>4810.3</v>
      </c>
      <c r="P125" s="44"/>
      <c r="Q125" s="44"/>
      <c r="R125" s="44"/>
      <c r="S125" s="44"/>
      <c r="T125" s="44"/>
      <c r="U125" s="44"/>
      <c r="V125" s="44"/>
      <c r="W125" s="36"/>
    </row>
    <row r="126" spans="1:23" ht="18.75">
      <c r="A126" s="317"/>
      <c r="B126" s="289"/>
      <c r="C126" s="289"/>
      <c r="D126" s="37" t="s">
        <v>154</v>
      </c>
      <c r="E126" s="37" t="s">
        <v>155</v>
      </c>
      <c r="F126" s="37" t="s">
        <v>169</v>
      </c>
      <c r="G126" s="37" t="s">
        <v>182</v>
      </c>
      <c r="H126" s="37" t="s">
        <v>180</v>
      </c>
      <c r="I126" s="37" t="s">
        <v>181</v>
      </c>
      <c r="J126" s="37" t="s">
        <v>182</v>
      </c>
      <c r="K126" s="37" t="s">
        <v>405</v>
      </c>
      <c r="L126" s="37" t="s">
        <v>184</v>
      </c>
      <c r="M126" s="35"/>
      <c r="N126" s="35"/>
      <c r="O126" s="44">
        <v>0</v>
      </c>
      <c r="P126" s="44">
        <v>4500</v>
      </c>
      <c r="Q126" s="44">
        <v>4500</v>
      </c>
      <c r="R126" s="44">
        <v>4500</v>
      </c>
      <c r="S126" s="44">
        <v>4500</v>
      </c>
      <c r="T126" s="44">
        <v>4500</v>
      </c>
      <c r="U126" s="44">
        <v>4500</v>
      </c>
      <c r="V126" s="44">
        <v>4500</v>
      </c>
      <c r="W126" s="36"/>
    </row>
    <row r="127" spans="1:23" ht="63" customHeight="1">
      <c r="A127" s="267" t="s">
        <v>179</v>
      </c>
      <c r="B127" s="29" t="s">
        <v>361</v>
      </c>
      <c r="C127" s="29" t="s">
        <v>69</v>
      </c>
      <c r="D127" s="37" t="s">
        <v>154</v>
      </c>
      <c r="E127" s="37" t="s">
        <v>155</v>
      </c>
      <c r="F127" s="37" t="s">
        <v>186</v>
      </c>
      <c r="G127" s="37" t="s">
        <v>155</v>
      </c>
      <c r="H127" s="37" t="s">
        <v>180</v>
      </c>
      <c r="I127" s="37" t="s">
        <v>187</v>
      </c>
      <c r="J127" s="37" t="s">
        <v>190</v>
      </c>
      <c r="K127" s="37" t="s">
        <v>403</v>
      </c>
      <c r="L127" s="37" t="s">
        <v>591</v>
      </c>
      <c r="M127" s="35">
        <f>2560.8</f>
        <v>2560.8</v>
      </c>
      <c r="N127" s="35">
        <v>0</v>
      </c>
      <c r="O127" s="44">
        <v>0</v>
      </c>
      <c r="P127" s="44">
        <v>4000</v>
      </c>
      <c r="Q127" s="44">
        <v>4000</v>
      </c>
      <c r="R127" s="44">
        <v>4000</v>
      </c>
      <c r="S127" s="44">
        <v>4000</v>
      </c>
      <c r="T127" s="44">
        <v>4000</v>
      </c>
      <c r="U127" s="44">
        <v>4000</v>
      </c>
      <c r="V127" s="44">
        <v>4000</v>
      </c>
      <c r="W127" s="36"/>
    </row>
    <row r="128" spans="1:23" ht="18.75" customHeight="1">
      <c r="A128" s="315" t="s">
        <v>179</v>
      </c>
      <c r="B128" s="318" t="s">
        <v>348</v>
      </c>
      <c r="C128" s="288" t="s">
        <v>9</v>
      </c>
      <c r="D128" s="37" t="s">
        <v>154</v>
      </c>
      <c r="E128" s="37" t="s">
        <v>155</v>
      </c>
      <c r="F128" s="37"/>
      <c r="G128" s="37"/>
      <c r="H128" s="37"/>
      <c r="I128" s="37"/>
      <c r="J128" s="37"/>
      <c r="K128" s="37"/>
      <c r="L128" s="37"/>
      <c r="M128" s="35">
        <v>191589.11</v>
      </c>
      <c r="N128" s="35">
        <v>193590.59</v>
      </c>
      <c r="O128" s="44">
        <f>O129+O141+O144</f>
        <v>67289</v>
      </c>
      <c r="P128" s="44">
        <f aca="true" t="shared" si="33" ref="P128:V128">P129+P141+P144</f>
        <v>12526</v>
      </c>
      <c r="Q128" s="44">
        <f t="shared" si="33"/>
        <v>11300</v>
      </c>
      <c r="R128" s="44">
        <f t="shared" si="33"/>
        <v>11300</v>
      </c>
      <c r="S128" s="44">
        <f t="shared" si="33"/>
        <v>11300</v>
      </c>
      <c r="T128" s="44">
        <f t="shared" si="33"/>
        <v>11300</v>
      </c>
      <c r="U128" s="44">
        <f t="shared" si="33"/>
        <v>11300</v>
      </c>
      <c r="V128" s="44">
        <f t="shared" si="33"/>
        <v>11300</v>
      </c>
      <c r="W128" s="36"/>
    </row>
    <row r="129" spans="1:23" ht="18.75" customHeight="1">
      <c r="A129" s="316"/>
      <c r="B129" s="319"/>
      <c r="C129" s="312"/>
      <c r="D129" s="37" t="s">
        <v>154</v>
      </c>
      <c r="E129" s="37" t="s">
        <v>155</v>
      </c>
      <c r="F129" s="37"/>
      <c r="G129" s="37"/>
      <c r="H129" s="37" t="s">
        <v>157</v>
      </c>
      <c r="I129" s="37"/>
      <c r="J129" s="37"/>
      <c r="K129" s="37"/>
      <c r="L129" s="37"/>
      <c r="M129" s="35"/>
      <c r="N129" s="35"/>
      <c r="O129" s="44">
        <f>SUM(O130:O137)</f>
        <v>43745</v>
      </c>
      <c r="P129" s="44">
        <f>SUM(P138:P140)</f>
        <v>12526</v>
      </c>
      <c r="Q129" s="44">
        <f aca="true" t="shared" si="34" ref="Q129:V129">SUM(Q138:Q140)</f>
        <v>11300</v>
      </c>
      <c r="R129" s="44">
        <f t="shared" si="34"/>
        <v>11300</v>
      </c>
      <c r="S129" s="44">
        <f t="shared" si="34"/>
        <v>11300</v>
      </c>
      <c r="T129" s="44">
        <f t="shared" si="34"/>
        <v>11300</v>
      </c>
      <c r="U129" s="44">
        <f t="shared" si="34"/>
        <v>11300</v>
      </c>
      <c r="V129" s="44">
        <f t="shared" si="34"/>
        <v>11300</v>
      </c>
      <c r="W129" s="36"/>
    </row>
    <row r="130" spans="1:23" ht="18.75">
      <c r="A130" s="316"/>
      <c r="B130" s="319"/>
      <c r="C130" s="312"/>
      <c r="D130" s="37" t="s">
        <v>154</v>
      </c>
      <c r="E130" s="37" t="s">
        <v>155</v>
      </c>
      <c r="F130" s="37" t="s">
        <v>187</v>
      </c>
      <c r="G130" s="37" t="s">
        <v>155</v>
      </c>
      <c r="H130" s="37" t="s">
        <v>157</v>
      </c>
      <c r="I130" s="37" t="s">
        <v>169</v>
      </c>
      <c r="J130" s="37" t="s">
        <v>155</v>
      </c>
      <c r="K130" s="37" t="s">
        <v>383</v>
      </c>
      <c r="L130" s="37" t="s">
        <v>80</v>
      </c>
      <c r="M130" s="35"/>
      <c r="N130" s="35"/>
      <c r="O130" s="44">
        <v>4161.9</v>
      </c>
      <c r="P130" s="44"/>
      <c r="Q130" s="44"/>
      <c r="R130" s="44"/>
      <c r="S130" s="44"/>
      <c r="T130" s="44"/>
      <c r="U130" s="44"/>
      <c r="V130" s="44"/>
      <c r="W130" s="36"/>
    </row>
    <row r="131" spans="1:23" ht="18.75">
      <c r="A131" s="316"/>
      <c r="B131" s="319"/>
      <c r="C131" s="312"/>
      <c r="D131" s="37" t="s">
        <v>154</v>
      </c>
      <c r="E131" s="37" t="s">
        <v>155</v>
      </c>
      <c r="F131" s="37" t="s">
        <v>187</v>
      </c>
      <c r="G131" s="37" t="s">
        <v>154</v>
      </c>
      <c r="H131" s="37" t="s">
        <v>157</v>
      </c>
      <c r="I131" s="37" t="s">
        <v>181</v>
      </c>
      <c r="J131" s="37" t="s">
        <v>182</v>
      </c>
      <c r="K131" s="37" t="s">
        <v>383</v>
      </c>
      <c r="L131" s="37" t="s">
        <v>75</v>
      </c>
      <c r="M131" s="35"/>
      <c r="N131" s="35"/>
      <c r="O131" s="44">
        <v>429.1</v>
      </c>
      <c r="P131" s="44"/>
      <c r="Q131" s="44"/>
      <c r="R131" s="44"/>
      <c r="S131" s="44"/>
      <c r="T131" s="44"/>
      <c r="U131" s="44"/>
      <c r="V131" s="44"/>
      <c r="W131" s="36"/>
    </row>
    <row r="132" spans="1:23" ht="18.75">
      <c r="A132" s="316"/>
      <c r="B132" s="319"/>
      <c r="C132" s="312"/>
      <c r="D132" s="37" t="s">
        <v>154</v>
      </c>
      <c r="E132" s="37" t="s">
        <v>155</v>
      </c>
      <c r="F132" s="37" t="s">
        <v>187</v>
      </c>
      <c r="G132" s="37" t="s">
        <v>182</v>
      </c>
      <c r="H132" s="37" t="s">
        <v>157</v>
      </c>
      <c r="I132" s="37" t="s">
        <v>169</v>
      </c>
      <c r="J132" s="37" t="s">
        <v>154</v>
      </c>
      <c r="K132" s="37" t="s">
        <v>74</v>
      </c>
      <c r="L132" s="37" t="s">
        <v>76</v>
      </c>
      <c r="M132" s="35"/>
      <c r="N132" s="35"/>
      <c r="O132" s="44">
        <f>23764+1370</f>
        <v>25134</v>
      </c>
      <c r="P132" s="44"/>
      <c r="Q132" s="44"/>
      <c r="R132" s="44"/>
      <c r="S132" s="44"/>
      <c r="T132" s="44"/>
      <c r="U132" s="44"/>
      <c r="V132" s="44"/>
      <c r="W132" s="36"/>
    </row>
    <row r="133" spans="1:23" ht="18.75">
      <c r="A133" s="316"/>
      <c r="B133" s="319"/>
      <c r="C133" s="312"/>
      <c r="D133" s="37" t="s">
        <v>154</v>
      </c>
      <c r="E133" s="37" t="s">
        <v>155</v>
      </c>
      <c r="F133" s="37" t="s">
        <v>187</v>
      </c>
      <c r="G133" s="37" t="s">
        <v>158</v>
      </c>
      <c r="H133" s="37" t="s">
        <v>157</v>
      </c>
      <c r="I133" s="37" t="s">
        <v>169</v>
      </c>
      <c r="J133" s="37" t="s">
        <v>182</v>
      </c>
      <c r="K133" s="37" t="s">
        <v>73</v>
      </c>
      <c r="L133" s="37" t="s">
        <v>184</v>
      </c>
      <c r="M133" s="35"/>
      <c r="N133" s="35"/>
      <c r="O133" s="44">
        <f>500-150</f>
        <v>350</v>
      </c>
      <c r="P133" s="44"/>
      <c r="Q133" s="44"/>
      <c r="R133" s="44"/>
      <c r="S133" s="44"/>
      <c r="T133" s="44"/>
      <c r="U133" s="44"/>
      <c r="V133" s="44"/>
      <c r="W133" s="36"/>
    </row>
    <row r="134" spans="1:23" ht="18.75">
      <c r="A134" s="316"/>
      <c r="B134" s="319"/>
      <c r="C134" s="312"/>
      <c r="D134" s="37" t="s">
        <v>154</v>
      </c>
      <c r="E134" s="37" t="s">
        <v>155</v>
      </c>
      <c r="F134" s="37" t="s">
        <v>187</v>
      </c>
      <c r="G134" s="37" t="s">
        <v>169</v>
      </c>
      <c r="H134" s="37" t="s">
        <v>157</v>
      </c>
      <c r="I134" s="37" t="s">
        <v>181</v>
      </c>
      <c r="J134" s="37" t="s">
        <v>182</v>
      </c>
      <c r="K134" s="37" t="s">
        <v>74</v>
      </c>
      <c r="L134" s="37" t="s">
        <v>75</v>
      </c>
      <c r="M134" s="35"/>
      <c r="N134" s="35"/>
      <c r="O134" s="44">
        <v>2520</v>
      </c>
      <c r="P134" s="44"/>
      <c r="Q134" s="44"/>
      <c r="R134" s="44"/>
      <c r="S134" s="44"/>
      <c r="T134" s="44"/>
      <c r="U134" s="44"/>
      <c r="V134" s="44"/>
      <c r="W134" s="36"/>
    </row>
    <row r="135" spans="1:23" ht="18.75">
      <c r="A135" s="316"/>
      <c r="B135" s="319"/>
      <c r="C135" s="312"/>
      <c r="D135" s="37" t="s">
        <v>154</v>
      </c>
      <c r="E135" s="37" t="s">
        <v>155</v>
      </c>
      <c r="F135" s="37" t="s">
        <v>187</v>
      </c>
      <c r="G135" s="37" t="s">
        <v>186</v>
      </c>
      <c r="H135" s="37" t="s">
        <v>157</v>
      </c>
      <c r="I135" s="37" t="s">
        <v>158</v>
      </c>
      <c r="J135" s="37" t="s">
        <v>159</v>
      </c>
      <c r="K135" s="37" t="s">
        <v>74</v>
      </c>
      <c r="L135" s="37" t="s">
        <v>184</v>
      </c>
      <c r="M135" s="35"/>
      <c r="N135" s="35"/>
      <c r="O135" s="44">
        <v>10000</v>
      </c>
      <c r="P135" s="44"/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36"/>
    </row>
    <row r="136" spans="1:23" ht="18.75">
      <c r="A136" s="316"/>
      <c r="B136" s="319"/>
      <c r="C136" s="312"/>
      <c r="D136" s="37" t="s">
        <v>154</v>
      </c>
      <c r="E136" s="37" t="s">
        <v>155</v>
      </c>
      <c r="F136" s="37" t="s">
        <v>187</v>
      </c>
      <c r="G136" s="37" t="s">
        <v>187</v>
      </c>
      <c r="H136" s="37" t="s">
        <v>157</v>
      </c>
      <c r="I136" s="37" t="s">
        <v>158</v>
      </c>
      <c r="J136" s="37" t="s">
        <v>159</v>
      </c>
      <c r="K136" s="37" t="s">
        <v>74</v>
      </c>
      <c r="L136" s="37" t="s">
        <v>92</v>
      </c>
      <c r="M136" s="35"/>
      <c r="N136" s="35"/>
      <c r="O136" s="44">
        <v>670</v>
      </c>
      <c r="P136" s="44"/>
      <c r="Q136" s="44"/>
      <c r="R136" s="44"/>
      <c r="S136" s="44"/>
      <c r="T136" s="44"/>
      <c r="U136" s="44"/>
      <c r="V136" s="44"/>
      <c r="W136" s="36"/>
    </row>
    <row r="137" spans="1:23" ht="18.75">
      <c r="A137" s="316"/>
      <c r="B137" s="319"/>
      <c r="C137" s="312"/>
      <c r="D137" s="37" t="s">
        <v>154</v>
      </c>
      <c r="E137" s="37" t="s">
        <v>155</v>
      </c>
      <c r="F137" s="37" t="s">
        <v>187</v>
      </c>
      <c r="G137" s="37" t="s">
        <v>174</v>
      </c>
      <c r="H137" s="37" t="s">
        <v>157</v>
      </c>
      <c r="I137" s="37" t="s">
        <v>158</v>
      </c>
      <c r="J137" s="37" t="s">
        <v>159</v>
      </c>
      <c r="K137" s="37" t="s">
        <v>197</v>
      </c>
      <c r="L137" s="37" t="s">
        <v>92</v>
      </c>
      <c r="M137" s="35"/>
      <c r="N137" s="35"/>
      <c r="O137" s="44">
        <v>480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36"/>
    </row>
    <row r="138" spans="1:23" ht="18.75">
      <c r="A138" s="316"/>
      <c r="B138" s="319"/>
      <c r="C138" s="312"/>
      <c r="D138" s="37" t="s">
        <v>154</v>
      </c>
      <c r="E138" s="37" t="s">
        <v>155</v>
      </c>
      <c r="F138" s="37" t="s">
        <v>187</v>
      </c>
      <c r="G138" s="37" t="s">
        <v>190</v>
      </c>
      <c r="H138" s="37" t="s">
        <v>157</v>
      </c>
      <c r="I138" s="37" t="s">
        <v>169</v>
      </c>
      <c r="J138" s="37" t="s">
        <v>155</v>
      </c>
      <c r="K138" s="37" t="s">
        <v>411</v>
      </c>
      <c r="L138" s="37" t="s">
        <v>80</v>
      </c>
      <c r="M138" s="35"/>
      <c r="N138" s="35"/>
      <c r="O138" s="44">
        <v>0</v>
      </c>
      <c r="P138" s="44">
        <v>7800</v>
      </c>
      <c r="Q138" s="44">
        <v>7800</v>
      </c>
      <c r="R138" s="44">
        <v>7800</v>
      </c>
      <c r="S138" s="44">
        <v>7800</v>
      </c>
      <c r="T138" s="44">
        <v>7800</v>
      </c>
      <c r="U138" s="44">
        <v>7800</v>
      </c>
      <c r="V138" s="44">
        <v>7800</v>
      </c>
      <c r="W138" s="36"/>
    </row>
    <row r="139" spans="1:23" ht="18.75">
      <c r="A139" s="316"/>
      <c r="B139" s="319"/>
      <c r="C139" s="312"/>
      <c r="D139" s="37" t="s">
        <v>154</v>
      </c>
      <c r="E139" s="37" t="s">
        <v>155</v>
      </c>
      <c r="F139" s="37" t="s">
        <v>187</v>
      </c>
      <c r="G139" s="37" t="s">
        <v>181</v>
      </c>
      <c r="H139" s="37" t="s">
        <v>157</v>
      </c>
      <c r="I139" s="37" t="s">
        <v>181</v>
      </c>
      <c r="J139" s="37" t="s">
        <v>182</v>
      </c>
      <c r="K139" s="37" t="s">
        <v>411</v>
      </c>
      <c r="L139" s="37" t="s">
        <v>75</v>
      </c>
      <c r="M139" s="35"/>
      <c r="N139" s="35"/>
      <c r="O139" s="44">
        <v>0</v>
      </c>
      <c r="P139" s="44">
        <v>3500</v>
      </c>
      <c r="Q139" s="44">
        <v>3500</v>
      </c>
      <c r="R139" s="44">
        <v>3500</v>
      </c>
      <c r="S139" s="44">
        <v>3500</v>
      </c>
      <c r="T139" s="44">
        <v>3500</v>
      </c>
      <c r="U139" s="44">
        <v>3500</v>
      </c>
      <c r="V139" s="44">
        <v>3500</v>
      </c>
      <c r="W139" s="36"/>
    </row>
    <row r="140" spans="1:23" ht="18.75">
      <c r="A140" s="316"/>
      <c r="B140" s="319"/>
      <c r="C140" s="312"/>
      <c r="D140" s="37" t="s">
        <v>154</v>
      </c>
      <c r="E140" s="37" t="s">
        <v>155</v>
      </c>
      <c r="F140" s="37" t="s">
        <v>187</v>
      </c>
      <c r="G140" s="37" t="s">
        <v>159</v>
      </c>
      <c r="H140" s="37" t="s">
        <v>157</v>
      </c>
      <c r="I140" s="37" t="s">
        <v>158</v>
      </c>
      <c r="J140" s="37" t="s">
        <v>159</v>
      </c>
      <c r="K140" s="37" t="s">
        <v>420</v>
      </c>
      <c r="L140" s="37" t="s">
        <v>184</v>
      </c>
      <c r="M140" s="35"/>
      <c r="N140" s="35"/>
      <c r="O140" s="44">
        <v>0</v>
      </c>
      <c r="P140" s="44">
        <v>1226</v>
      </c>
      <c r="Q140" s="44"/>
      <c r="R140" s="44"/>
      <c r="S140" s="44"/>
      <c r="T140" s="44"/>
      <c r="U140" s="44"/>
      <c r="V140" s="44"/>
      <c r="W140" s="36"/>
    </row>
    <row r="141" spans="1:23" ht="26.25" customHeight="1">
      <c r="A141" s="316"/>
      <c r="B141" s="319"/>
      <c r="C141" s="322" t="s">
        <v>69</v>
      </c>
      <c r="D141" s="145" t="s">
        <v>154</v>
      </c>
      <c r="E141" s="145" t="s">
        <v>155</v>
      </c>
      <c r="F141" s="145" t="s">
        <v>174</v>
      </c>
      <c r="G141" s="145"/>
      <c r="H141" s="145" t="s">
        <v>180</v>
      </c>
      <c r="I141" s="34"/>
      <c r="J141" s="34"/>
      <c r="K141" s="34"/>
      <c r="L141" s="145"/>
      <c r="M141" s="35"/>
      <c r="N141" s="35"/>
      <c r="O141" s="44">
        <f>SUM(O142:O143)</f>
        <v>8694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36"/>
    </row>
    <row r="142" spans="1:24" ht="21" customHeight="1">
      <c r="A142" s="316"/>
      <c r="B142" s="319"/>
      <c r="C142" s="322"/>
      <c r="D142" s="37" t="s">
        <v>154</v>
      </c>
      <c r="E142" s="37" t="s">
        <v>155</v>
      </c>
      <c r="F142" s="37" t="s">
        <v>174</v>
      </c>
      <c r="G142" s="37" t="s">
        <v>155</v>
      </c>
      <c r="H142" s="37" t="s">
        <v>180</v>
      </c>
      <c r="I142" s="145" t="s">
        <v>187</v>
      </c>
      <c r="J142" s="145" t="s">
        <v>190</v>
      </c>
      <c r="K142" s="145" t="s">
        <v>428</v>
      </c>
      <c r="L142" s="145" t="s">
        <v>591</v>
      </c>
      <c r="M142" s="35"/>
      <c r="N142" s="35"/>
      <c r="O142" s="44">
        <v>4694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36"/>
      <c r="X142" s="10" t="s">
        <v>439</v>
      </c>
    </row>
    <row r="143" spans="1:23" ht="32.25" customHeight="1">
      <c r="A143" s="316"/>
      <c r="B143" s="319"/>
      <c r="C143" s="322"/>
      <c r="D143" s="37" t="s">
        <v>154</v>
      </c>
      <c r="E143" s="37" t="s">
        <v>155</v>
      </c>
      <c r="F143" s="37" t="s">
        <v>174</v>
      </c>
      <c r="G143" s="37" t="s">
        <v>154</v>
      </c>
      <c r="H143" s="37" t="s">
        <v>180</v>
      </c>
      <c r="I143" s="37" t="s">
        <v>187</v>
      </c>
      <c r="J143" s="37" t="s">
        <v>190</v>
      </c>
      <c r="K143" s="37" t="s">
        <v>74</v>
      </c>
      <c r="L143" s="145" t="s">
        <v>206</v>
      </c>
      <c r="M143" s="35"/>
      <c r="N143" s="35"/>
      <c r="O143" s="44">
        <v>4000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36"/>
    </row>
    <row r="144" spans="1:23" ht="72" customHeight="1">
      <c r="A144" s="317"/>
      <c r="B144" s="320"/>
      <c r="C144" s="19" t="s">
        <v>142</v>
      </c>
      <c r="D144" s="37" t="s">
        <v>154</v>
      </c>
      <c r="E144" s="37" t="s">
        <v>155</v>
      </c>
      <c r="F144" s="37" t="s">
        <v>190</v>
      </c>
      <c r="G144" s="37" t="s">
        <v>155</v>
      </c>
      <c r="H144" s="37" t="s">
        <v>185</v>
      </c>
      <c r="I144" s="37" t="s">
        <v>158</v>
      </c>
      <c r="J144" s="37" t="s">
        <v>159</v>
      </c>
      <c r="K144" s="37" t="s">
        <v>383</v>
      </c>
      <c r="L144" s="37" t="s">
        <v>395</v>
      </c>
      <c r="M144" s="35"/>
      <c r="N144" s="35"/>
      <c r="O144" s="123">
        <v>14850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36"/>
    </row>
    <row r="145" spans="1:23" ht="72" customHeight="1">
      <c r="A145" s="21" t="s">
        <v>179</v>
      </c>
      <c r="B145" s="51" t="s">
        <v>528</v>
      </c>
      <c r="C145" s="19" t="s">
        <v>9</v>
      </c>
      <c r="D145" s="37" t="s">
        <v>154</v>
      </c>
      <c r="E145" s="37" t="s">
        <v>155</v>
      </c>
      <c r="F145" s="37" t="s">
        <v>187</v>
      </c>
      <c r="G145" s="37" t="s">
        <v>192</v>
      </c>
      <c r="H145" s="37" t="s">
        <v>157</v>
      </c>
      <c r="I145" s="37" t="s">
        <v>169</v>
      </c>
      <c r="J145" s="37" t="s">
        <v>154</v>
      </c>
      <c r="K145" s="37" t="s">
        <v>592</v>
      </c>
      <c r="L145" s="37" t="s">
        <v>184</v>
      </c>
      <c r="M145" s="35"/>
      <c r="N145" s="35"/>
      <c r="O145" s="44">
        <v>0</v>
      </c>
      <c r="P145" s="44">
        <v>23764</v>
      </c>
      <c r="Q145" s="44">
        <v>23764</v>
      </c>
      <c r="R145" s="44">
        <v>23764</v>
      </c>
      <c r="S145" s="44">
        <v>23764</v>
      </c>
      <c r="T145" s="44">
        <v>23764</v>
      </c>
      <c r="U145" s="44">
        <v>23764</v>
      </c>
      <c r="V145" s="44">
        <v>23764</v>
      </c>
      <c r="W145" s="36"/>
    </row>
    <row r="146" spans="1:23" ht="72" customHeight="1">
      <c r="A146" s="21" t="s">
        <v>179</v>
      </c>
      <c r="B146" s="51" t="s">
        <v>569</v>
      </c>
      <c r="C146" s="19" t="s">
        <v>9</v>
      </c>
      <c r="D146" s="145" t="s">
        <v>154</v>
      </c>
      <c r="E146" s="145" t="s">
        <v>155</v>
      </c>
      <c r="F146" s="145" t="s">
        <v>187</v>
      </c>
      <c r="G146" s="145" t="s">
        <v>191</v>
      </c>
      <c r="H146" s="145" t="s">
        <v>157</v>
      </c>
      <c r="I146" s="145" t="s">
        <v>181</v>
      </c>
      <c r="J146" s="145" t="s">
        <v>182</v>
      </c>
      <c r="K146" s="145" t="s">
        <v>416</v>
      </c>
      <c r="L146" s="145" t="s">
        <v>75</v>
      </c>
      <c r="M146" s="35"/>
      <c r="N146" s="35"/>
      <c r="O146" s="44">
        <v>0</v>
      </c>
      <c r="P146" s="44">
        <v>3000</v>
      </c>
      <c r="Q146" s="44">
        <v>3000</v>
      </c>
      <c r="R146" s="44">
        <v>3000</v>
      </c>
      <c r="S146" s="44">
        <v>3000</v>
      </c>
      <c r="T146" s="44">
        <v>3000</v>
      </c>
      <c r="U146" s="44">
        <v>3000</v>
      </c>
      <c r="V146" s="44">
        <v>3000</v>
      </c>
      <c r="W146" s="36"/>
    </row>
    <row r="147" spans="1:23" ht="74.25" customHeight="1">
      <c r="A147" s="21" t="s">
        <v>179</v>
      </c>
      <c r="B147" s="19" t="s">
        <v>588</v>
      </c>
      <c r="C147" s="19" t="s">
        <v>9</v>
      </c>
      <c r="D147" s="145" t="s">
        <v>154</v>
      </c>
      <c r="E147" s="145" t="s">
        <v>155</v>
      </c>
      <c r="F147" s="145" t="s">
        <v>187</v>
      </c>
      <c r="G147" s="145" t="s">
        <v>156</v>
      </c>
      <c r="H147" s="145" t="s">
        <v>157</v>
      </c>
      <c r="I147" s="145" t="s">
        <v>169</v>
      </c>
      <c r="J147" s="145" t="s">
        <v>182</v>
      </c>
      <c r="K147" s="145" t="s">
        <v>424</v>
      </c>
      <c r="L147" s="145" t="s">
        <v>184</v>
      </c>
      <c r="M147" s="35"/>
      <c r="N147" s="35"/>
      <c r="O147" s="44">
        <v>0</v>
      </c>
      <c r="P147" s="44">
        <v>500</v>
      </c>
      <c r="Q147" s="44">
        <v>500</v>
      </c>
      <c r="R147" s="44">
        <v>500</v>
      </c>
      <c r="S147" s="44">
        <v>500</v>
      </c>
      <c r="T147" s="44">
        <v>500</v>
      </c>
      <c r="U147" s="44">
        <v>500</v>
      </c>
      <c r="V147" s="44">
        <v>500</v>
      </c>
      <c r="W147" s="36"/>
    </row>
    <row r="148" spans="1:23" ht="29.25" customHeight="1">
      <c r="A148" s="315" t="s">
        <v>179</v>
      </c>
      <c r="B148" s="288" t="s">
        <v>492</v>
      </c>
      <c r="C148" s="288" t="s">
        <v>9</v>
      </c>
      <c r="D148" s="37" t="s">
        <v>154</v>
      </c>
      <c r="E148" s="37" t="s">
        <v>155</v>
      </c>
      <c r="F148" s="37"/>
      <c r="G148" s="37"/>
      <c r="H148" s="37" t="s">
        <v>157</v>
      </c>
      <c r="I148" s="37"/>
      <c r="J148" s="37"/>
      <c r="K148" s="37"/>
      <c r="L148" s="37"/>
      <c r="M148" s="35">
        <v>566591.2</v>
      </c>
      <c r="N148" s="35">
        <v>585595.5</v>
      </c>
      <c r="O148" s="44">
        <f>SUM(O149:O150)</f>
        <v>5940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36"/>
    </row>
    <row r="149" spans="1:23" ht="27.75" customHeight="1">
      <c r="A149" s="316"/>
      <c r="B149" s="312"/>
      <c r="C149" s="312"/>
      <c r="D149" s="37" t="s">
        <v>154</v>
      </c>
      <c r="E149" s="37" t="s">
        <v>155</v>
      </c>
      <c r="F149" s="37" t="s">
        <v>191</v>
      </c>
      <c r="G149" s="37" t="s">
        <v>155</v>
      </c>
      <c r="H149" s="37" t="s">
        <v>157</v>
      </c>
      <c r="I149" s="37" t="s">
        <v>169</v>
      </c>
      <c r="J149" s="37" t="s">
        <v>154</v>
      </c>
      <c r="K149" s="37" t="s">
        <v>385</v>
      </c>
      <c r="L149" s="37" t="s">
        <v>76</v>
      </c>
      <c r="M149" s="35">
        <v>566591.2</v>
      </c>
      <c r="N149" s="35">
        <v>585595.5</v>
      </c>
      <c r="O149" s="44">
        <v>4960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36"/>
    </row>
    <row r="150" spans="1:23" ht="27.75" customHeight="1">
      <c r="A150" s="317"/>
      <c r="B150" s="289"/>
      <c r="C150" s="289"/>
      <c r="D150" s="37" t="s">
        <v>154</v>
      </c>
      <c r="E150" s="37" t="s">
        <v>155</v>
      </c>
      <c r="F150" s="37" t="s">
        <v>191</v>
      </c>
      <c r="G150" s="37" t="s">
        <v>154</v>
      </c>
      <c r="H150" s="37" t="s">
        <v>157</v>
      </c>
      <c r="I150" s="37" t="s">
        <v>169</v>
      </c>
      <c r="J150" s="37" t="s">
        <v>154</v>
      </c>
      <c r="K150" s="37" t="s">
        <v>385</v>
      </c>
      <c r="L150" s="37" t="s">
        <v>92</v>
      </c>
      <c r="M150" s="35">
        <v>566591.2</v>
      </c>
      <c r="N150" s="35">
        <v>585595.5</v>
      </c>
      <c r="O150" s="44">
        <v>980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36"/>
    </row>
    <row r="151" spans="1:23" ht="18" customHeight="1">
      <c r="A151" s="315" t="s">
        <v>179</v>
      </c>
      <c r="B151" s="313" t="s">
        <v>570</v>
      </c>
      <c r="C151" s="288" t="s">
        <v>9</v>
      </c>
      <c r="D151" s="37" t="s">
        <v>154</v>
      </c>
      <c r="E151" s="37" t="s">
        <v>155</v>
      </c>
      <c r="F151" s="37" t="s">
        <v>159</v>
      </c>
      <c r="G151" s="34"/>
      <c r="H151" s="34"/>
      <c r="I151" s="34"/>
      <c r="J151" s="34"/>
      <c r="K151" s="37"/>
      <c r="L151" s="37"/>
      <c r="M151" s="35">
        <v>205619.18</v>
      </c>
      <c r="N151" s="35">
        <v>293778.71</v>
      </c>
      <c r="O151" s="44">
        <f>O152+O175+O176+O177+O181</f>
        <v>225331.9</v>
      </c>
      <c r="P151" s="44">
        <f>SUM(P170:P174)</f>
        <v>56333.1</v>
      </c>
      <c r="Q151" s="44">
        <f aca="true" t="shared" si="35" ref="Q151:V151">SUM(Q170:Q174)</f>
        <v>44946.1</v>
      </c>
      <c r="R151" s="44">
        <f t="shared" si="35"/>
        <v>44128.1</v>
      </c>
      <c r="S151" s="44">
        <f t="shared" si="35"/>
        <v>44128.1</v>
      </c>
      <c r="T151" s="44">
        <f t="shared" si="35"/>
        <v>44128.1</v>
      </c>
      <c r="U151" s="44">
        <f t="shared" si="35"/>
        <v>44128.1</v>
      </c>
      <c r="V151" s="44">
        <f t="shared" si="35"/>
        <v>44128.1</v>
      </c>
      <c r="W151" s="36"/>
    </row>
    <row r="152" spans="1:23" ht="19.5" customHeight="1">
      <c r="A152" s="316"/>
      <c r="B152" s="321"/>
      <c r="C152" s="312"/>
      <c r="D152" s="37" t="s">
        <v>154</v>
      </c>
      <c r="E152" s="37" t="s">
        <v>155</v>
      </c>
      <c r="F152" s="37" t="s">
        <v>159</v>
      </c>
      <c r="G152" s="34"/>
      <c r="H152" s="37" t="s">
        <v>157</v>
      </c>
      <c r="I152" s="34"/>
      <c r="J152" s="34"/>
      <c r="K152" s="37"/>
      <c r="L152" s="37"/>
      <c r="M152" s="35"/>
      <c r="N152" s="35"/>
      <c r="O152" s="44">
        <f>SUM(O153:O174)</f>
        <v>216481.9</v>
      </c>
      <c r="P152" s="44">
        <f>SUM(P170:P174)</f>
        <v>56333.1</v>
      </c>
      <c r="Q152" s="44">
        <f aca="true" t="shared" si="36" ref="Q152:V152">SUM(Q170:Q174)</f>
        <v>44946.1</v>
      </c>
      <c r="R152" s="44">
        <f t="shared" si="36"/>
        <v>44128.1</v>
      </c>
      <c r="S152" s="44">
        <f t="shared" si="36"/>
        <v>44128.1</v>
      </c>
      <c r="T152" s="44">
        <f t="shared" si="36"/>
        <v>44128.1</v>
      </c>
      <c r="U152" s="44">
        <f t="shared" si="36"/>
        <v>44128.1</v>
      </c>
      <c r="V152" s="44">
        <f t="shared" si="36"/>
        <v>44128.1</v>
      </c>
      <c r="W152" s="36"/>
    </row>
    <row r="153" spans="1:23" ht="21" customHeight="1">
      <c r="A153" s="316"/>
      <c r="B153" s="321"/>
      <c r="C153" s="312"/>
      <c r="D153" s="37" t="s">
        <v>154</v>
      </c>
      <c r="E153" s="37" t="s">
        <v>155</v>
      </c>
      <c r="F153" s="37" t="s">
        <v>159</v>
      </c>
      <c r="G153" s="37" t="s">
        <v>155</v>
      </c>
      <c r="H153" s="37" t="s">
        <v>157</v>
      </c>
      <c r="I153" s="37" t="s">
        <v>158</v>
      </c>
      <c r="J153" s="37" t="s">
        <v>174</v>
      </c>
      <c r="K153" s="37" t="s">
        <v>79</v>
      </c>
      <c r="L153" s="37" t="s">
        <v>80</v>
      </c>
      <c r="M153" s="35"/>
      <c r="N153" s="35"/>
      <c r="O153" s="44">
        <v>600</v>
      </c>
      <c r="P153" s="44"/>
      <c r="Q153" s="44"/>
      <c r="R153" s="44"/>
      <c r="S153" s="44"/>
      <c r="T153" s="44"/>
      <c r="U153" s="44"/>
      <c r="V153" s="44"/>
      <c r="W153" s="36"/>
    </row>
    <row r="154" spans="1:23" ht="21" customHeight="1">
      <c r="A154" s="316"/>
      <c r="B154" s="321"/>
      <c r="C154" s="312"/>
      <c r="D154" s="37" t="s">
        <v>154</v>
      </c>
      <c r="E154" s="37" t="s">
        <v>155</v>
      </c>
      <c r="F154" s="37" t="s">
        <v>159</v>
      </c>
      <c r="G154" s="37" t="s">
        <v>154</v>
      </c>
      <c r="H154" s="37" t="s">
        <v>157</v>
      </c>
      <c r="I154" s="37" t="s">
        <v>158</v>
      </c>
      <c r="J154" s="37" t="s">
        <v>174</v>
      </c>
      <c r="K154" s="37" t="s">
        <v>79</v>
      </c>
      <c r="L154" s="37" t="s">
        <v>184</v>
      </c>
      <c r="M154" s="35"/>
      <c r="N154" s="35"/>
      <c r="O154" s="44">
        <v>2700</v>
      </c>
      <c r="P154" s="44"/>
      <c r="Q154" s="44"/>
      <c r="R154" s="44"/>
      <c r="S154" s="44"/>
      <c r="T154" s="44"/>
      <c r="U154" s="44"/>
      <c r="V154" s="44"/>
      <c r="W154" s="36"/>
    </row>
    <row r="155" spans="1:23" ht="21" customHeight="1">
      <c r="A155" s="316"/>
      <c r="B155" s="321"/>
      <c r="C155" s="312"/>
      <c r="D155" s="37" t="s">
        <v>154</v>
      </c>
      <c r="E155" s="37" t="s">
        <v>155</v>
      </c>
      <c r="F155" s="37" t="s">
        <v>159</v>
      </c>
      <c r="G155" s="37" t="s">
        <v>182</v>
      </c>
      <c r="H155" s="37" t="s">
        <v>157</v>
      </c>
      <c r="I155" s="37" t="s">
        <v>158</v>
      </c>
      <c r="J155" s="37" t="s">
        <v>159</v>
      </c>
      <c r="K155" s="37" t="s">
        <v>196</v>
      </c>
      <c r="L155" s="37" t="s">
        <v>92</v>
      </c>
      <c r="M155" s="35"/>
      <c r="N155" s="35"/>
      <c r="O155" s="44">
        <v>0</v>
      </c>
      <c r="P155" s="44"/>
      <c r="Q155" s="44"/>
      <c r="R155" s="44"/>
      <c r="S155" s="44"/>
      <c r="T155" s="44"/>
      <c r="U155" s="44"/>
      <c r="V155" s="44"/>
      <c r="W155" s="36"/>
    </row>
    <row r="156" spans="1:23" ht="21" customHeight="1">
      <c r="A156" s="316"/>
      <c r="B156" s="321"/>
      <c r="C156" s="312"/>
      <c r="D156" s="37" t="s">
        <v>154</v>
      </c>
      <c r="E156" s="37" t="s">
        <v>155</v>
      </c>
      <c r="F156" s="37" t="s">
        <v>159</v>
      </c>
      <c r="G156" s="37" t="s">
        <v>158</v>
      </c>
      <c r="H156" s="37" t="s">
        <v>157</v>
      </c>
      <c r="I156" s="37" t="s">
        <v>169</v>
      </c>
      <c r="J156" s="37" t="s">
        <v>154</v>
      </c>
      <c r="K156" s="37" t="s">
        <v>207</v>
      </c>
      <c r="L156" s="37" t="s">
        <v>96</v>
      </c>
      <c r="M156" s="35"/>
      <c r="N156" s="35"/>
      <c r="O156" s="44">
        <v>6700</v>
      </c>
      <c r="P156" s="44"/>
      <c r="Q156" s="44"/>
      <c r="R156" s="44"/>
      <c r="S156" s="44"/>
      <c r="T156" s="44"/>
      <c r="U156" s="44"/>
      <c r="V156" s="44"/>
      <c r="W156" s="36"/>
    </row>
    <row r="157" spans="1:23" ht="21" customHeight="1">
      <c r="A157" s="316"/>
      <c r="B157" s="321"/>
      <c r="C157" s="312"/>
      <c r="D157" s="37" t="s">
        <v>154</v>
      </c>
      <c r="E157" s="37" t="s">
        <v>155</v>
      </c>
      <c r="F157" s="37" t="s">
        <v>159</v>
      </c>
      <c r="G157" s="37" t="s">
        <v>169</v>
      </c>
      <c r="H157" s="37" t="s">
        <v>157</v>
      </c>
      <c r="I157" s="37" t="s">
        <v>169</v>
      </c>
      <c r="J157" s="37" t="s">
        <v>158</v>
      </c>
      <c r="K157" s="37" t="s">
        <v>198</v>
      </c>
      <c r="L157" s="37" t="s">
        <v>199</v>
      </c>
      <c r="M157" s="35"/>
      <c r="N157" s="35"/>
      <c r="O157" s="44">
        <v>0</v>
      </c>
      <c r="P157" s="44"/>
      <c r="Q157" s="44"/>
      <c r="R157" s="44"/>
      <c r="S157" s="44"/>
      <c r="T157" s="44"/>
      <c r="U157" s="44"/>
      <c r="V157" s="44"/>
      <c r="W157" s="36"/>
    </row>
    <row r="158" spans="1:23" ht="21" customHeight="1">
      <c r="A158" s="316"/>
      <c r="B158" s="321"/>
      <c r="C158" s="312"/>
      <c r="D158" s="37" t="s">
        <v>154</v>
      </c>
      <c r="E158" s="37" t="s">
        <v>155</v>
      </c>
      <c r="F158" s="37" t="s">
        <v>159</v>
      </c>
      <c r="G158" s="37" t="s">
        <v>186</v>
      </c>
      <c r="H158" s="37" t="s">
        <v>157</v>
      </c>
      <c r="I158" s="37" t="s">
        <v>155</v>
      </c>
      <c r="J158" s="37" t="s">
        <v>192</v>
      </c>
      <c r="K158" s="37" t="s">
        <v>78</v>
      </c>
      <c r="L158" s="37" t="s">
        <v>184</v>
      </c>
      <c r="M158" s="35"/>
      <c r="N158" s="35"/>
      <c r="O158" s="44">
        <v>4910</v>
      </c>
      <c r="P158" s="44"/>
      <c r="Q158" s="44"/>
      <c r="R158" s="44"/>
      <c r="S158" s="44"/>
      <c r="T158" s="44"/>
      <c r="U158" s="44"/>
      <c r="V158" s="44"/>
      <c r="W158" s="36"/>
    </row>
    <row r="159" spans="1:24" ht="21" customHeight="1">
      <c r="A159" s="316"/>
      <c r="B159" s="321"/>
      <c r="C159" s="312"/>
      <c r="D159" s="37" t="s">
        <v>154</v>
      </c>
      <c r="E159" s="37" t="s">
        <v>155</v>
      </c>
      <c r="F159" s="37" t="s">
        <v>159</v>
      </c>
      <c r="G159" s="37" t="s">
        <v>187</v>
      </c>
      <c r="H159" s="37" t="s">
        <v>157</v>
      </c>
      <c r="I159" s="37" t="s">
        <v>169</v>
      </c>
      <c r="J159" s="37" t="s">
        <v>154</v>
      </c>
      <c r="K159" s="37" t="s">
        <v>392</v>
      </c>
      <c r="L159" s="37" t="s">
        <v>184</v>
      </c>
      <c r="M159" s="35"/>
      <c r="N159" s="35"/>
      <c r="O159" s="44">
        <v>9805</v>
      </c>
      <c r="P159" s="44"/>
      <c r="Q159" s="44"/>
      <c r="R159" s="44"/>
      <c r="S159" s="44"/>
      <c r="T159" s="44"/>
      <c r="U159" s="44"/>
      <c r="V159" s="44"/>
      <c r="W159" s="36"/>
      <c r="X159" s="10" t="s">
        <v>439</v>
      </c>
    </row>
    <row r="160" spans="1:24" ht="21" customHeight="1">
      <c r="A160" s="316"/>
      <c r="B160" s="321"/>
      <c r="C160" s="312"/>
      <c r="D160" s="37" t="s">
        <v>154</v>
      </c>
      <c r="E160" s="37" t="s">
        <v>155</v>
      </c>
      <c r="F160" s="37" t="s">
        <v>159</v>
      </c>
      <c r="G160" s="37" t="s">
        <v>174</v>
      </c>
      <c r="H160" s="37" t="s">
        <v>157</v>
      </c>
      <c r="I160" s="37" t="s">
        <v>169</v>
      </c>
      <c r="J160" s="37" t="s">
        <v>154</v>
      </c>
      <c r="K160" s="37" t="s">
        <v>392</v>
      </c>
      <c r="L160" s="37" t="s">
        <v>76</v>
      </c>
      <c r="M160" s="35"/>
      <c r="N160" s="35"/>
      <c r="O160" s="44">
        <v>5400</v>
      </c>
      <c r="P160" s="44"/>
      <c r="Q160" s="44"/>
      <c r="R160" s="44"/>
      <c r="S160" s="44"/>
      <c r="T160" s="44"/>
      <c r="U160" s="44"/>
      <c r="V160" s="44"/>
      <c r="W160" s="36"/>
      <c r="X160" s="10" t="s">
        <v>439</v>
      </c>
    </row>
    <row r="161" spans="1:23" ht="19.5" customHeight="1">
      <c r="A161" s="316"/>
      <c r="B161" s="321"/>
      <c r="C161" s="312"/>
      <c r="D161" s="37" t="s">
        <v>154</v>
      </c>
      <c r="E161" s="37" t="s">
        <v>155</v>
      </c>
      <c r="F161" s="37" t="s">
        <v>159</v>
      </c>
      <c r="G161" s="37" t="s">
        <v>190</v>
      </c>
      <c r="H161" s="37" t="s">
        <v>157</v>
      </c>
      <c r="I161" s="37" t="s">
        <v>169</v>
      </c>
      <c r="J161" s="37" t="s">
        <v>154</v>
      </c>
      <c r="K161" s="37" t="s">
        <v>77</v>
      </c>
      <c r="L161" s="37" t="s">
        <v>184</v>
      </c>
      <c r="M161" s="35"/>
      <c r="N161" s="35"/>
      <c r="O161" s="44">
        <f>41069.4+7120+25035.5</f>
        <v>73224.9</v>
      </c>
      <c r="P161" s="44"/>
      <c r="Q161" s="44"/>
      <c r="R161" s="44"/>
      <c r="S161" s="44"/>
      <c r="T161" s="44"/>
      <c r="U161" s="44"/>
      <c r="V161" s="44"/>
      <c r="W161" s="36"/>
    </row>
    <row r="162" spans="1:24" ht="19.5" customHeight="1">
      <c r="A162" s="316"/>
      <c r="B162" s="321"/>
      <c r="C162" s="312"/>
      <c r="D162" s="37" t="s">
        <v>154</v>
      </c>
      <c r="E162" s="37" t="s">
        <v>155</v>
      </c>
      <c r="F162" s="37" t="s">
        <v>159</v>
      </c>
      <c r="G162" s="37" t="s">
        <v>181</v>
      </c>
      <c r="H162" s="37" t="s">
        <v>157</v>
      </c>
      <c r="I162" s="37" t="s">
        <v>187</v>
      </c>
      <c r="J162" s="37" t="s">
        <v>154</v>
      </c>
      <c r="K162" s="37" t="s">
        <v>392</v>
      </c>
      <c r="L162" s="37" t="s">
        <v>184</v>
      </c>
      <c r="M162" s="35"/>
      <c r="N162" s="35"/>
      <c r="O162" s="44">
        <v>54512</v>
      </c>
      <c r="P162" s="44"/>
      <c r="Q162" s="44"/>
      <c r="R162" s="44"/>
      <c r="S162" s="44"/>
      <c r="T162" s="44"/>
      <c r="U162" s="44"/>
      <c r="V162" s="44"/>
      <c r="W162" s="36"/>
      <c r="X162" s="10" t="s">
        <v>439</v>
      </c>
    </row>
    <row r="163" spans="1:24" ht="19.5" customHeight="1">
      <c r="A163" s="316"/>
      <c r="B163" s="321"/>
      <c r="C163" s="312"/>
      <c r="D163" s="37" t="s">
        <v>154</v>
      </c>
      <c r="E163" s="37" t="s">
        <v>155</v>
      </c>
      <c r="F163" s="37" t="s">
        <v>159</v>
      </c>
      <c r="G163" s="37" t="s">
        <v>191</v>
      </c>
      <c r="H163" s="37" t="s">
        <v>157</v>
      </c>
      <c r="I163" s="37" t="s">
        <v>187</v>
      </c>
      <c r="J163" s="37" t="s">
        <v>155</v>
      </c>
      <c r="K163" s="37" t="s">
        <v>392</v>
      </c>
      <c r="L163" s="37" t="s">
        <v>184</v>
      </c>
      <c r="M163" s="35"/>
      <c r="N163" s="35"/>
      <c r="O163" s="44">
        <v>15978</v>
      </c>
      <c r="P163" s="44"/>
      <c r="Q163" s="44"/>
      <c r="R163" s="44"/>
      <c r="S163" s="44"/>
      <c r="T163" s="44"/>
      <c r="U163" s="44"/>
      <c r="V163" s="44"/>
      <c r="W163" s="36"/>
      <c r="X163" s="10" t="s">
        <v>439</v>
      </c>
    </row>
    <row r="164" spans="1:23" ht="19.5" customHeight="1">
      <c r="A164" s="316"/>
      <c r="B164" s="321"/>
      <c r="C164" s="312"/>
      <c r="D164" s="37" t="s">
        <v>154</v>
      </c>
      <c r="E164" s="37" t="s">
        <v>155</v>
      </c>
      <c r="F164" s="37" t="s">
        <v>159</v>
      </c>
      <c r="G164" s="37" t="s">
        <v>159</v>
      </c>
      <c r="H164" s="37" t="s">
        <v>157</v>
      </c>
      <c r="I164" s="37" t="s">
        <v>187</v>
      </c>
      <c r="J164" s="37" t="s">
        <v>155</v>
      </c>
      <c r="K164" s="37" t="s">
        <v>78</v>
      </c>
      <c r="L164" s="37" t="s">
        <v>184</v>
      </c>
      <c r="M164" s="35"/>
      <c r="N164" s="35"/>
      <c r="O164" s="44">
        <v>7140</v>
      </c>
      <c r="P164" s="44"/>
      <c r="Q164" s="44"/>
      <c r="R164" s="44"/>
      <c r="S164" s="44"/>
      <c r="T164" s="44"/>
      <c r="U164" s="44"/>
      <c r="V164" s="44"/>
      <c r="W164" s="36"/>
    </row>
    <row r="165" spans="1:24" ht="19.5" customHeight="1">
      <c r="A165" s="316"/>
      <c r="B165" s="321"/>
      <c r="C165" s="312"/>
      <c r="D165" s="37" t="s">
        <v>154</v>
      </c>
      <c r="E165" s="37" t="s">
        <v>155</v>
      </c>
      <c r="F165" s="37" t="s">
        <v>159</v>
      </c>
      <c r="G165" s="37" t="s">
        <v>192</v>
      </c>
      <c r="H165" s="37" t="s">
        <v>157</v>
      </c>
      <c r="I165" s="37" t="s">
        <v>174</v>
      </c>
      <c r="J165" s="37" t="s">
        <v>155</v>
      </c>
      <c r="K165" s="37" t="s">
        <v>392</v>
      </c>
      <c r="L165" s="37" t="s">
        <v>184</v>
      </c>
      <c r="M165" s="35"/>
      <c r="N165" s="35"/>
      <c r="O165" s="44">
        <v>850</v>
      </c>
      <c r="P165" s="44"/>
      <c r="Q165" s="44"/>
      <c r="R165" s="44"/>
      <c r="S165" s="44"/>
      <c r="T165" s="44"/>
      <c r="U165" s="44"/>
      <c r="V165" s="44"/>
      <c r="W165" s="36"/>
      <c r="X165" s="10" t="s">
        <v>439</v>
      </c>
    </row>
    <row r="166" spans="1:23" ht="19.5" customHeight="1">
      <c r="A166" s="316"/>
      <c r="B166" s="321"/>
      <c r="C166" s="312"/>
      <c r="D166" s="37" t="s">
        <v>154</v>
      </c>
      <c r="E166" s="37" t="s">
        <v>155</v>
      </c>
      <c r="F166" s="37" t="s">
        <v>159</v>
      </c>
      <c r="G166" s="37" t="s">
        <v>156</v>
      </c>
      <c r="H166" s="37" t="s">
        <v>157</v>
      </c>
      <c r="I166" s="37" t="s">
        <v>174</v>
      </c>
      <c r="J166" s="37" t="s">
        <v>155</v>
      </c>
      <c r="K166" s="37" t="s">
        <v>78</v>
      </c>
      <c r="L166" s="37" t="s">
        <v>184</v>
      </c>
      <c r="M166" s="35"/>
      <c r="N166" s="35"/>
      <c r="O166" s="44">
        <v>3000</v>
      </c>
      <c r="P166" s="44"/>
      <c r="Q166" s="44"/>
      <c r="R166" s="44"/>
      <c r="S166" s="44"/>
      <c r="T166" s="44"/>
      <c r="U166" s="44"/>
      <c r="V166" s="44"/>
      <c r="W166" s="36"/>
    </row>
    <row r="167" spans="1:23" ht="19.5" customHeight="1">
      <c r="A167" s="316"/>
      <c r="B167" s="321"/>
      <c r="C167" s="312"/>
      <c r="D167" s="37" t="s">
        <v>154</v>
      </c>
      <c r="E167" s="37" t="s">
        <v>155</v>
      </c>
      <c r="F167" s="37" t="s">
        <v>159</v>
      </c>
      <c r="G167" s="37" t="s">
        <v>163</v>
      </c>
      <c r="H167" s="37" t="s">
        <v>157</v>
      </c>
      <c r="I167" s="37" t="s">
        <v>187</v>
      </c>
      <c r="J167" s="37" t="s">
        <v>154</v>
      </c>
      <c r="K167" s="37" t="s">
        <v>78</v>
      </c>
      <c r="L167" s="37" t="s">
        <v>184</v>
      </c>
      <c r="M167" s="35"/>
      <c r="N167" s="35"/>
      <c r="O167" s="44">
        <v>24850</v>
      </c>
      <c r="P167" s="44"/>
      <c r="Q167" s="44"/>
      <c r="R167" s="44"/>
      <c r="S167" s="44"/>
      <c r="T167" s="44"/>
      <c r="U167" s="44"/>
      <c r="V167" s="44"/>
      <c r="W167" s="36"/>
    </row>
    <row r="168" spans="1:23" ht="19.5" customHeight="1">
      <c r="A168" s="316"/>
      <c r="B168" s="321"/>
      <c r="C168" s="312"/>
      <c r="D168" s="37" t="s">
        <v>154</v>
      </c>
      <c r="E168" s="37" t="s">
        <v>155</v>
      </c>
      <c r="F168" s="37" t="s">
        <v>159</v>
      </c>
      <c r="G168" s="37" t="s">
        <v>167</v>
      </c>
      <c r="H168" s="37" t="s">
        <v>157</v>
      </c>
      <c r="I168" s="37" t="s">
        <v>169</v>
      </c>
      <c r="J168" s="37" t="s">
        <v>154</v>
      </c>
      <c r="K168" s="37" t="s">
        <v>200</v>
      </c>
      <c r="L168" s="37" t="s">
        <v>76</v>
      </c>
      <c r="M168" s="35"/>
      <c r="N168" s="35"/>
      <c r="O168" s="44">
        <v>3300</v>
      </c>
      <c r="P168" s="44"/>
      <c r="Q168" s="44"/>
      <c r="R168" s="44"/>
      <c r="S168" s="44"/>
      <c r="T168" s="44"/>
      <c r="U168" s="44"/>
      <c r="V168" s="44"/>
      <c r="W168" s="36"/>
    </row>
    <row r="169" spans="1:23" ht="20.25" customHeight="1">
      <c r="A169" s="316"/>
      <c r="B169" s="321"/>
      <c r="C169" s="312"/>
      <c r="D169" s="37" t="s">
        <v>154</v>
      </c>
      <c r="E169" s="37" t="s">
        <v>155</v>
      </c>
      <c r="F169" s="37" t="s">
        <v>159</v>
      </c>
      <c r="G169" s="37" t="s">
        <v>172</v>
      </c>
      <c r="H169" s="37" t="s">
        <v>157</v>
      </c>
      <c r="I169" s="37" t="s">
        <v>156</v>
      </c>
      <c r="J169" s="37" t="s">
        <v>182</v>
      </c>
      <c r="K169" s="37" t="s">
        <v>77</v>
      </c>
      <c r="L169" s="37" t="s">
        <v>184</v>
      </c>
      <c r="M169" s="35"/>
      <c r="N169" s="35"/>
      <c r="O169" s="44">
        <v>3512</v>
      </c>
      <c r="P169" s="44"/>
      <c r="Q169" s="44"/>
      <c r="R169" s="44"/>
      <c r="S169" s="44"/>
      <c r="T169" s="44"/>
      <c r="U169" s="44"/>
      <c r="V169" s="44"/>
      <c r="W169" s="36"/>
    </row>
    <row r="170" spans="1:23" ht="18" customHeight="1">
      <c r="A170" s="316"/>
      <c r="B170" s="321"/>
      <c r="C170" s="312"/>
      <c r="D170" s="37" t="s">
        <v>154</v>
      </c>
      <c r="E170" s="37" t="s">
        <v>155</v>
      </c>
      <c r="F170" s="37" t="s">
        <v>159</v>
      </c>
      <c r="G170" s="37" t="s">
        <v>430</v>
      </c>
      <c r="H170" s="37" t="s">
        <v>157</v>
      </c>
      <c r="I170" s="37" t="s">
        <v>169</v>
      </c>
      <c r="J170" s="37" t="s">
        <v>154</v>
      </c>
      <c r="K170" s="37" t="s">
        <v>415</v>
      </c>
      <c r="L170" s="37" t="s">
        <v>96</v>
      </c>
      <c r="M170" s="35"/>
      <c r="N170" s="35"/>
      <c r="O170" s="44">
        <v>0</v>
      </c>
      <c r="P170" s="44">
        <v>2205</v>
      </c>
      <c r="Q170" s="44"/>
      <c r="R170" s="44"/>
      <c r="S170" s="44"/>
      <c r="T170" s="44"/>
      <c r="U170" s="44"/>
      <c r="V170" s="44"/>
      <c r="W170" s="36"/>
    </row>
    <row r="171" spans="1:23" ht="18" customHeight="1">
      <c r="A171" s="316"/>
      <c r="B171" s="321"/>
      <c r="C171" s="312"/>
      <c r="D171" s="37" t="s">
        <v>154</v>
      </c>
      <c r="E171" s="37" t="s">
        <v>155</v>
      </c>
      <c r="F171" s="37" t="s">
        <v>159</v>
      </c>
      <c r="G171" s="37" t="s">
        <v>431</v>
      </c>
      <c r="H171" s="37" t="s">
        <v>157</v>
      </c>
      <c r="I171" s="37" t="s">
        <v>169</v>
      </c>
      <c r="J171" s="37" t="s">
        <v>154</v>
      </c>
      <c r="K171" s="37" t="s">
        <v>422</v>
      </c>
      <c r="L171" s="37" t="s">
        <v>184</v>
      </c>
      <c r="M171" s="35"/>
      <c r="N171" s="35"/>
      <c r="O171" s="44">
        <v>0</v>
      </c>
      <c r="P171" s="44">
        <v>20000</v>
      </c>
      <c r="Q171" s="44">
        <v>10000</v>
      </c>
      <c r="R171" s="44">
        <v>10000</v>
      </c>
      <c r="S171" s="44">
        <v>10000</v>
      </c>
      <c r="T171" s="44">
        <v>10000</v>
      </c>
      <c r="U171" s="44">
        <v>10000</v>
      </c>
      <c r="V171" s="44">
        <v>10000</v>
      </c>
      <c r="W171" s="36"/>
    </row>
    <row r="172" spans="1:23" ht="18" customHeight="1">
      <c r="A172" s="316"/>
      <c r="B172" s="321"/>
      <c r="C172" s="312"/>
      <c r="D172" s="37" t="s">
        <v>154</v>
      </c>
      <c r="E172" s="37" t="s">
        <v>155</v>
      </c>
      <c r="F172" s="37" t="s">
        <v>159</v>
      </c>
      <c r="G172" s="37" t="s">
        <v>432</v>
      </c>
      <c r="H172" s="37" t="s">
        <v>157</v>
      </c>
      <c r="I172" s="37" t="s">
        <v>169</v>
      </c>
      <c r="J172" s="37" t="s">
        <v>154</v>
      </c>
      <c r="K172" s="37" t="s">
        <v>423</v>
      </c>
      <c r="L172" s="37" t="s">
        <v>184</v>
      </c>
      <c r="M172" s="35"/>
      <c r="N172" s="35"/>
      <c r="O172" s="44">
        <v>0</v>
      </c>
      <c r="P172" s="44">
        <v>18705</v>
      </c>
      <c r="Q172" s="44">
        <v>18705</v>
      </c>
      <c r="R172" s="44">
        <v>18705</v>
      </c>
      <c r="S172" s="44">
        <v>18705</v>
      </c>
      <c r="T172" s="44">
        <v>18705</v>
      </c>
      <c r="U172" s="44">
        <v>18705</v>
      </c>
      <c r="V172" s="44">
        <v>18705</v>
      </c>
      <c r="W172" s="36"/>
    </row>
    <row r="173" spans="1:23" ht="18" customHeight="1">
      <c r="A173" s="316"/>
      <c r="B173" s="321"/>
      <c r="C173" s="312"/>
      <c r="D173" s="37" t="s">
        <v>154</v>
      </c>
      <c r="E173" s="37" t="s">
        <v>155</v>
      </c>
      <c r="F173" s="37" t="s">
        <v>159</v>
      </c>
      <c r="G173" s="37" t="s">
        <v>433</v>
      </c>
      <c r="H173" s="37" t="s">
        <v>157</v>
      </c>
      <c r="I173" s="37" t="s">
        <v>156</v>
      </c>
      <c r="J173" s="37" t="s">
        <v>182</v>
      </c>
      <c r="K173" s="37" t="s">
        <v>425</v>
      </c>
      <c r="L173" s="37" t="s">
        <v>184</v>
      </c>
      <c r="M173" s="35"/>
      <c r="N173" s="35"/>
      <c r="O173" s="44">
        <v>0</v>
      </c>
      <c r="P173" s="44">
        <v>11995</v>
      </c>
      <c r="Q173" s="44">
        <v>12813</v>
      </c>
      <c r="R173" s="44">
        <v>11995</v>
      </c>
      <c r="S173" s="44">
        <v>11995</v>
      </c>
      <c r="T173" s="44">
        <v>11995</v>
      </c>
      <c r="U173" s="44">
        <v>11995</v>
      </c>
      <c r="V173" s="44">
        <v>11995</v>
      </c>
      <c r="W173" s="36"/>
    </row>
    <row r="174" spans="1:23" ht="18" customHeight="1">
      <c r="A174" s="316"/>
      <c r="B174" s="321"/>
      <c r="C174" s="289"/>
      <c r="D174" s="37" t="s">
        <v>154</v>
      </c>
      <c r="E174" s="37" t="s">
        <v>155</v>
      </c>
      <c r="F174" s="37" t="s">
        <v>159</v>
      </c>
      <c r="G174" s="37" t="s">
        <v>434</v>
      </c>
      <c r="H174" s="37" t="s">
        <v>157</v>
      </c>
      <c r="I174" s="37" t="s">
        <v>156</v>
      </c>
      <c r="J174" s="37" t="s">
        <v>182</v>
      </c>
      <c r="K174" s="37" t="s">
        <v>426</v>
      </c>
      <c r="L174" s="37" t="s">
        <v>184</v>
      </c>
      <c r="M174" s="35"/>
      <c r="N174" s="35"/>
      <c r="O174" s="44">
        <v>0</v>
      </c>
      <c r="P174" s="44">
        <v>3428.1</v>
      </c>
      <c r="Q174" s="44">
        <v>3428.1</v>
      </c>
      <c r="R174" s="44">
        <v>3428.1</v>
      </c>
      <c r="S174" s="44">
        <v>3428.1</v>
      </c>
      <c r="T174" s="44">
        <v>3428.1</v>
      </c>
      <c r="U174" s="44">
        <v>3428.1</v>
      </c>
      <c r="V174" s="44">
        <v>3428.1</v>
      </c>
      <c r="W174" s="36"/>
    </row>
    <row r="175" spans="1:24" ht="68.25" customHeight="1">
      <c r="A175" s="316"/>
      <c r="B175" s="321"/>
      <c r="C175" s="19" t="s">
        <v>69</v>
      </c>
      <c r="D175" s="37" t="s">
        <v>154</v>
      </c>
      <c r="E175" s="37" t="s">
        <v>155</v>
      </c>
      <c r="F175" s="37" t="s">
        <v>159</v>
      </c>
      <c r="G175" s="37" t="s">
        <v>435</v>
      </c>
      <c r="H175" s="37" t="s">
        <v>180</v>
      </c>
      <c r="I175" s="37" t="s">
        <v>187</v>
      </c>
      <c r="J175" s="37" t="s">
        <v>154</v>
      </c>
      <c r="K175" s="37" t="s">
        <v>392</v>
      </c>
      <c r="L175" s="37" t="s">
        <v>394</v>
      </c>
      <c r="M175" s="35"/>
      <c r="N175" s="35"/>
      <c r="O175" s="44">
        <v>2620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36"/>
      <c r="X175" s="10" t="s">
        <v>439</v>
      </c>
    </row>
    <row r="176" spans="1:24" ht="54.75" customHeight="1">
      <c r="A176" s="316"/>
      <c r="B176" s="321"/>
      <c r="C176" s="19" t="s">
        <v>114</v>
      </c>
      <c r="D176" s="37" t="s">
        <v>154</v>
      </c>
      <c r="E176" s="37" t="s">
        <v>155</v>
      </c>
      <c r="F176" s="37" t="s">
        <v>159</v>
      </c>
      <c r="G176" s="37" t="s">
        <v>494</v>
      </c>
      <c r="H176" s="37" t="s">
        <v>393</v>
      </c>
      <c r="I176" s="37" t="s">
        <v>190</v>
      </c>
      <c r="J176" s="37" t="s">
        <v>154</v>
      </c>
      <c r="K176" s="37" t="s">
        <v>392</v>
      </c>
      <c r="L176" s="37" t="s">
        <v>90</v>
      </c>
      <c r="M176" s="35"/>
      <c r="N176" s="35"/>
      <c r="O176" s="44">
        <v>2750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36"/>
      <c r="X176" s="10" t="s">
        <v>439</v>
      </c>
    </row>
    <row r="177" spans="1:23" ht="23.25" customHeight="1">
      <c r="A177" s="316"/>
      <c r="B177" s="321"/>
      <c r="C177" s="288" t="s">
        <v>147</v>
      </c>
      <c r="D177" s="37" t="s">
        <v>154</v>
      </c>
      <c r="E177" s="37" t="s">
        <v>155</v>
      </c>
      <c r="F177" s="37" t="s">
        <v>159</v>
      </c>
      <c r="G177" s="37"/>
      <c r="H177" s="37" t="s">
        <v>500</v>
      </c>
      <c r="I177" s="37"/>
      <c r="J177" s="37"/>
      <c r="K177" s="37"/>
      <c r="L177" s="37"/>
      <c r="M177" s="35"/>
      <c r="N177" s="35"/>
      <c r="O177" s="44">
        <f>SUM(O178:O180)</f>
        <v>2200</v>
      </c>
      <c r="P177" s="44"/>
      <c r="Q177" s="44"/>
      <c r="R177" s="44"/>
      <c r="S177" s="44"/>
      <c r="T177" s="44"/>
      <c r="U177" s="44"/>
      <c r="V177" s="44"/>
      <c r="W177" s="36"/>
    </row>
    <row r="178" spans="1:24" ht="22.5" customHeight="1">
      <c r="A178" s="316"/>
      <c r="B178" s="321"/>
      <c r="C178" s="312"/>
      <c r="D178" s="37" t="s">
        <v>154</v>
      </c>
      <c r="E178" s="37" t="s">
        <v>155</v>
      </c>
      <c r="F178" s="232" t="s">
        <v>159</v>
      </c>
      <c r="G178" s="232" t="s">
        <v>495</v>
      </c>
      <c r="H178" s="230" t="s">
        <v>500</v>
      </c>
      <c r="I178" s="230">
        <v>10</v>
      </c>
      <c r="J178" s="230" t="s">
        <v>154</v>
      </c>
      <c r="K178" s="230" t="s">
        <v>501</v>
      </c>
      <c r="L178" s="230" t="s">
        <v>90</v>
      </c>
      <c r="M178" s="35"/>
      <c r="N178" s="35"/>
      <c r="O178" s="231">
        <v>605.6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36"/>
      <c r="X178" s="10" t="s">
        <v>439</v>
      </c>
    </row>
    <row r="179" spans="1:24" ht="23.25" customHeight="1">
      <c r="A179" s="316"/>
      <c r="B179" s="321"/>
      <c r="C179" s="312"/>
      <c r="D179" s="37" t="s">
        <v>154</v>
      </c>
      <c r="E179" s="37" t="s">
        <v>155</v>
      </c>
      <c r="F179" s="232" t="s">
        <v>159</v>
      </c>
      <c r="G179" s="232" t="s">
        <v>496</v>
      </c>
      <c r="H179" s="230" t="s">
        <v>500</v>
      </c>
      <c r="I179" s="230">
        <v>10</v>
      </c>
      <c r="J179" s="230" t="s">
        <v>154</v>
      </c>
      <c r="K179" s="230" t="s">
        <v>501</v>
      </c>
      <c r="L179" s="230" t="s">
        <v>394</v>
      </c>
      <c r="M179" s="35"/>
      <c r="N179" s="35"/>
      <c r="O179" s="231">
        <v>394.4</v>
      </c>
      <c r="P179" s="44"/>
      <c r="Q179" s="44"/>
      <c r="R179" s="44"/>
      <c r="S179" s="44"/>
      <c r="T179" s="44"/>
      <c r="U179" s="44"/>
      <c r="V179" s="44"/>
      <c r="W179" s="36"/>
      <c r="X179" s="10" t="s">
        <v>439</v>
      </c>
    </row>
    <row r="180" spans="1:23" ht="24" customHeight="1">
      <c r="A180" s="316"/>
      <c r="B180" s="321"/>
      <c r="C180" s="289"/>
      <c r="D180" s="37" t="s">
        <v>154</v>
      </c>
      <c r="E180" s="37" t="s">
        <v>155</v>
      </c>
      <c r="F180" s="37" t="s">
        <v>159</v>
      </c>
      <c r="G180" s="37" t="s">
        <v>497</v>
      </c>
      <c r="H180" s="230" t="s">
        <v>500</v>
      </c>
      <c r="I180" s="230">
        <v>10</v>
      </c>
      <c r="J180" s="230" t="s">
        <v>154</v>
      </c>
      <c r="K180" s="230" t="s">
        <v>502</v>
      </c>
      <c r="L180" s="230" t="s">
        <v>90</v>
      </c>
      <c r="M180" s="35"/>
      <c r="N180" s="35"/>
      <c r="O180" s="44">
        <v>1200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36"/>
    </row>
    <row r="181" spans="1:23" ht="57.75" customHeight="1">
      <c r="A181" s="317"/>
      <c r="B181" s="314"/>
      <c r="C181" s="19" t="s">
        <v>143</v>
      </c>
      <c r="D181" s="37" t="s">
        <v>154</v>
      </c>
      <c r="E181" s="37" t="s">
        <v>155</v>
      </c>
      <c r="F181" s="37" t="s">
        <v>159</v>
      </c>
      <c r="G181" s="37" t="s">
        <v>499</v>
      </c>
      <c r="H181" s="37" t="s">
        <v>498</v>
      </c>
      <c r="I181" s="37" t="s">
        <v>187</v>
      </c>
      <c r="J181" s="37" t="s">
        <v>158</v>
      </c>
      <c r="K181" s="37" t="s">
        <v>78</v>
      </c>
      <c r="L181" s="37" t="s">
        <v>90</v>
      </c>
      <c r="M181" s="35"/>
      <c r="N181" s="35"/>
      <c r="O181" s="44">
        <v>1280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36"/>
    </row>
    <row r="182" spans="1:23" ht="25.5" customHeight="1">
      <c r="A182" s="315" t="s">
        <v>179</v>
      </c>
      <c r="B182" s="288" t="s">
        <v>363</v>
      </c>
      <c r="C182" s="288" t="s">
        <v>9</v>
      </c>
      <c r="D182" s="37" t="s">
        <v>154</v>
      </c>
      <c r="E182" s="37" t="s">
        <v>155</v>
      </c>
      <c r="F182" s="37"/>
      <c r="G182" s="37"/>
      <c r="H182" s="37" t="s">
        <v>157</v>
      </c>
      <c r="I182" s="37"/>
      <c r="J182" s="37"/>
      <c r="K182" s="37"/>
      <c r="L182" s="37"/>
      <c r="M182" s="35"/>
      <c r="N182" s="35"/>
      <c r="O182" s="44">
        <f>SUM(O183:O184)</f>
        <v>9385</v>
      </c>
      <c r="P182" s="44">
        <f>SUM(P185)</f>
        <v>2825</v>
      </c>
      <c r="Q182" s="44">
        <f aca="true" t="shared" si="37" ref="Q182:V182">SUM(Q185)</f>
        <v>0</v>
      </c>
      <c r="R182" s="44">
        <f t="shared" si="37"/>
        <v>0</v>
      </c>
      <c r="S182" s="44">
        <f t="shared" si="37"/>
        <v>0</v>
      </c>
      <c r="T182" s="44">
        <f t="shared" si="37"/>
        <v>0</v>
      </c>
      <c r="U182" s="44">
        <f t="shared" si="37"/>
        <v>0</v>
      </c>
      <c r="V182" s="44">
        <f t="shared" si="37"/>
        <v>0</v>
      </c>
      <c r="W182" s="36"/>
    </row>
    <row r="183" spans="1:23" ht="26.25" customHeight="1">
      <c r="A183" s="316"/>
      <c r="B183" s="312"/>
      <c r="C183" s="312"/>
      <c r="D183" s="37" t="s">
        <v>154</v>
      </c>
      <c r="E183" s="37" t="s">
        <v>155</v>
      </c>
      <c r="F183" s="37" t="s">
        <v>192</v>
      </c>
      <c r="G183" s="37" t="s">
        <v>155</v>
      </c>
      <c r="H183" s="37" t="s">
        <v>157</v>
      </c>
      <c r="I183" s="37" t="s">
        <v>169</v>
      </c>
      <c r="J183" s="37" t="s">
        <v>154</v>
      </c>
      <c r="K183" s="37" t="s">
        <v>205</v>
      </c>
      <c r="L183" s="37" t="s">
        <v>76</v>
      </c>
      <c r="M183" s="35"/>
      <c r="N183" s="35"/>
      <c r="O183" s="44">
        <v>4800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36"/>
    </row>
    <row r="184" spans="1:23" ht="28.5" customHeight="1">
      <c r="A184" s="316"/>
      <c r="B184" s="312"/>
      <c r="C184" s="312"/>
      <c r="D184" s="37" t="s">
        <v>154</v>
      </c>
      <c r="E184" s="37" t="s">
        <v>155</v>
      </c>
      <c r="F184" s="37" t="s">
        <v>192</v>
      </c>
      <c r="G184" s="37" t="s">
        <v>154</v>
      </c>
      <c r="H184" s="37" t="s">
        <v>157</v>
      </c>
      <c r="I184" s="37" t="s">
        <v>169</v>
      </c>
      <c r="J184" s="37" t="s">
        <v>154</v>
      </c>
      <c r="K184" s="37" t="s">
        <v>205</v>
      </c>
      <c r="L184" s="37" t="s">
        <v>384</v>
      </c>
      <c r="M184" s="35">
        <v>41132.8</v>
      </c>
      <c r="N184" s="35">
        <v>62480.3</v>
      </c>
      <c r="O184" s="44">
        <v>4585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36"/>
    </row>
    <row r="185" spans="1:23" ht="28.5" customHeight="1">
      <c r="A185" s="317"/>
      <c r="B185" s="289"/>
      <c r="C185" s="289"/>
      <c r="D185" s="37" t="s">
        <v>154</v>
      </c>
      <c r="E185" s="37" t="s">
        <v>155</v>
      </c>
      <c r="F185" s="37" t="s">
        <v>192</v>
      </c>
      <c r="G185" s="37" t="s">
        <v>154</v>
      </c>
      <c r="H185" s="37" t="s">
        <v>157</v>
      </c>
      <c r="I185" s="37" t="s">
        <v>169</v>
      </c>
      <c r="J185" s="37" t="s">
        <v>154</v>
      </c>
      <c r="K185" s="37" t="s">
        <v>593</v>
      </c>
      <c r="L185" s="37" t="s">
        <v>419</v>
      </c>
      <c r="M185" s="35"/>
      <c r="N185" s="35"/>
      <c r="O185" s="44">
        <v>0</v>
      </c>
      <c r="P185" s="44">
        <v>2825</v>
      </c>
      <c r="Q185" s="44"/>
      <c r="R185" s="44"/>
      <c r="S185" s="44"/>
      <c r="T185" s="44"/>
      <c r="U185" s="44"/>
      <c r="V185" s="44"/>
      <c r="W185" s="36"/>
    </row>
    <row r="186" spans="1:23" ht="19.5" customHeight="1">
      <c r="A186" s="315" t="s">
        <v>179</v>
      </c>
      <c r="B186" s="288" t="s">
        <v>381</v>
      </c>
      <c r="C186" s="288" t="s">
        <v>9</v>
      </c>
      <c r="D186" s="37" t="s">
        <v>154</v>
      </c>
      <c r="E186" s="37" t="s">
        <v>155</v>
      </c>
      <c r="F186" s="37" t="s">
        <v>156</v>
      </c>
      <c r="G186" s="37"/>
      <c r="H186" s="37"/>
      <c r="I186" s="37"/>
      <c r="J186" s="37"/>
      <c r="K186" s="37"/>
      <c r="L186" s="37"/>
      <c r="M186" s="35">
        <v>44845</v>
      </c>
      <c r="N186" s="35">
        <v>215610</v>
      </c>
      <c r="O186" s="44">
        <f aca="true" t="shared" si="38" ref="O186:V186">SUM(O187:O192)</f>
        <v>171199.1</v>
      </c>
      <c r="P186" s="44"/>
      <c r="Q186" s="44"/>
      <c r="R186" s="44">
        <f t="shared" si="38"/>
        <v>0</v>
      </c>
      <c r="S186" s="44">
        <f t="shared" si="38"/>
        <v>0</v>
      </c>
      <c r="T186" s="44">
        <f t="shared" si="38"/>
        <v>0</v>
      </c>
      <c r="U186" s="44">
        <f t="shared" si="38"/>
        <v>0</v>
      </c>
      <c r="V186" s="44">
        <f t="shared" si="38"/>
        <v>0</v>
      </c>
      <c r="W186" s="36"/>
    </row>
    <row r="187" spans="1:23" ht="20.25" customHeight="1">
      <c r="A187" s="316"/>
      <c r="B187" s="312"/>
      <c r="C187" s="312"/>
      <c r="D187" s="37" t="s">
        <v>154</v>
      </c>
      <c r="E187" s="37" t="s">
        <v>155</v>
      </c>
      <c r="F187" s="37" t="s">
        <v>156</v>
      </c>
      <c r="G187" s="37" t="s">
        <v>155</v>
      </c>
      <c r="H187" s="37" t="s">
        <v>157</v>
      </c>
      <c r="I187" s="37" t="s">
        <v>169</v>
      </c>
      <c r="J187" s="37" t="s">
        <v>154</v>
      </c>
      <c r="K187" s="37" t="s">
        <v>83</v>
      </c>
      <c r="L187" s="37" t="s">
        <v>76</v>
      </c>
      <c r="M187" s="35"/>
      <c r="N187" s="35"/>
      <c r="O187" s="44">
        <f>16930+4294.8</f>
        <v>21224.8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36"/>
    </row>
    <row r="188" spans="1:23" ht="20.25" customHeight="1">
      <c r="A188" s="316"/>
      <c r="B188" s="312"/>
      <c r="C188" s="312"/>
      <c r="D188" s="37" t="s">
        <v>154</v>
      </c>
      <c r="E188" s="37" t="s">
        <v>155</v>
      </c>
      <c r="F188" s="37" t="s">
        <v>156</v>
      </c>
      <c r="G188" s="37" t="s">
        <v>154</v>
      </c>
      <c r="H188" s="37" t="s">
        <v>157</v>
      </c>
      <c r="I188" s="37" t="s">
        <v>187</v>
      </c>
      <c r="J188" s="37" t="s">
        <v>154</v>
      </c>
      <c r="K188" s="37" t="s">
        <v>83</v>
      </c>
      <c r="L188" s="37" t="s">
        <v>384</v>
      </c>
      <c r="M188" s="35"/>
      <c r="N188" s="35"/>
      <c r="O188" s="44">
        <f>2509.3</f>
        <v>2509.3</v>
      </c>
      <c r="P188" s="44"/>
      <c r="Q188" s="44"/>
      <c r="R188" s="44"/>
      <c r="S188" s="44"/>
      <c r="T188" s="44"/>
      <c r="U188" s="44"/>
      <c r="V188" s="44"/>
      <c r="W188" s="36"/>
    </row>
    <row r="189" spans="1:23" ht="20.25" customHeight="1">
      <c r="A189" s="316"/>
      <c r="B189" s="312"/>
      <c r="C189" s="312"/>
      <c r="D189" s="37" t="s">
        <v>154</v>
      </c>
      <c r="E189" s="37" t="s">
        <v>155</v>
      </c>
      <c r="F189" s="37" t="s">
        <v>156</v>
      </c>
      <c r="G189" s="37" t="s">
        <v>182</v>
      </c>
      <c r="H189" s="37" t="s">
        <v>157</v>
      </c>
      <c r="I189" s="37" t="s">
        <v>187</v>
      </c>
      <c r="J189" s="37" t="s">
        <v>154</v>
      </c>
      <c r="K189" s="37" t="s">
        <v>83</v>
      </c>
      <c r="L189" s="37" t="s">
        <v>76</v>
      </c>
      <c r="M189" s="6"/>
      <c r="N189" s="6"/>
      <c r="O189" s="118">
        <v>20340.5</v>
      </c>
      <c r="P189" s="44"/>
      <c r="Q189" s="44"/>
      <c r="R189" s="44"/>
      <c r="S189" s="44"/>
      <c r="T189" s="44"/>
      <c r="U189" s="44"/>
      <c r="V189" s="44"/>
      <c r="W189" s="36"/>
    </row>
    <row r="190" spans="1:24" ht="20.25" customHeight="1">
      <c r="A190" s="316"/>
      <c r="B190" s="312"/>
      <c r="C190" s="312"/>
      <c r="D190" s="37" t="s">
        <v>154</v>
      </c>
      <c r="E190" s="37" t="s">
        <v>155</v>
      </c>
      <c r="F190" s="37" t="s">
        <v>156</v>
      </c>
      <c r="G190" s="37" t="s">
        <v>158</v>
      </c>
      <c r="H190" s="37" t="s">
        <v>157</v>
      </c>
      <c r="I190" s="37" t="s">
        <v>169</v>
      </c>
      <c r="J190" s="37" t="s">
        <v>154</v>
      </c>
      <c r="K190" s="37" t="s">
        <v>386</v>
      </c>
      <c r="L190" s="37" t="s">
        <v>76</v>
      </c>
      <c r="M190" s="35"/>
      <c r="N190" s="35"/>
      <c r="O190" s="44">
        <v>69128.5</v>
      </c>
      <c r="P190" s="44"/>
      <c r="Q190" s="44"/>
      <c r="R190" s="44"/>
      <c r="S190" s="44"/>
      <c r="T190" s="44"/>
      <c r="U190" s="44"/>
      <c r="V190" s="44"/>
      <c r="W190" s="36"/>
      <c r="X190" s="10" t="s">
        <v>439</v>
      </c>
    </row>
    <row r="191" spans="1:24" ht="20.25" customHeight="1">
      <c r="A191" s="316"/>
      <c r="B191" s="312"/>
      <c r="C191" s="312"/>
      <c r="D191" s="37" t="s">
        <v>154</v>
      </c>
      <c r="E191" s="37" t="s">
        <v>155</v>
      </c>
      <c r="F191" s="37" t="s">
        <v>156</v>
      </c>
      <c r="G191" s="37" t="s">
        <v>169</v>
      </c>
      <c r="H191" s="37" t="s">
        <v>157</v>
      </c>
      <c r="I191" s="37" t="s">
        <v>187</v>
      </c>
      <c r="J191" s="37" t="s">
        <v>154</v>
      </c>
      <c r="K191" s="37" t="s">
        <v>386</v>
      </c>
      <c r="L191" s="37" t="s">
        <v>76</v>
      </c>
      <c r="M191" s="35"/>
      <c r="N191" s="35"/>
      <c r="O191" s="44">
        <v>51939.9</v>
      </c>
      <c r="P191" s="44"/>
      <c r="Q191" s="44"/>
      <c r="R191" s="44"/>
      <c r="S191" s="44"/>
      <c r="T191" s="44"/>
      <c r="U191" s="44"/>
      <c r="V191" s="44"/>
      <c r="W191" s="36"/>
      <c r="X191" s="10" t="s">
        <v>439</v>
      </c>
    </row>
    <row r="192" spans="1:24" ht="21.75" customHeight="1">
      <c r="A192" s="316"/>
      <c r="B192" s="312"/>
      <c r="C192" s="312"/>
      <c r="D192" s="37" t="s">
        <v>154</v>
      </c>
      <c r="E192" s="37" t="s">
        <v>155</v>
      </c>
      <c r="F192" s="37" t="s">
        <v>156</v>
      </c>
      <c r="G192" s="37" t="s">
        <v>186</v>
      </c>
      <c r="H192" s="37" t="s">
        <v>157</v>
      </c>
      <c r="I192" s="37" t="s">
        <v>187</v>
      </c>
      <c r="J192" s="37" t="s">
        <v>154</v>
      </c>
      <c r="K192" s="37" t="s">
        <v>386</v>
      </c>
      <c r="L192" s="37" t="s">
        <v>384</v>
      </c>
      <c r="M192" s="35"/>
      <c r="N192" s="35"/>
      <c r="O192" s="44">
        <f>6056.1</f>
        <v>6056.1</v>
      </c>
      <c r="P192" s="44"/>
      <c r="Q192" s="44"/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36"/>
      <c r="X192" s="10" t="s">
        <v>439</v>
      </c>
    </row>
    <row r="193" spans="1:23" ht="22.5" customHeight="1" hidden="1">
      <c r="A193" s="316"/>
      <c r="B193" s="312"/>
      <c r="C193" s="312"/>
      <c r="D193" s="37" t="s">
        <v>154</v>
      </c>
      <c r="E193" s="37" t="s">
        <v>155</v>
      </c>
      <c r="F193" s="37" t="s">
        <v>156</v>
      </c>
      <c r="G193" s="37" t="s">
        <v>187</v>
      </c>
      <c r="H193" s="37" t="s">
        <v>157</v>
      </c>
      <c r="I193" s="37" t="s">
        <v>187</v>
      </c>
      <c r="J193" s="37" t="s">
        <v>154</v>
      </c>
      <c r="K193" s="37"/>
      <c r="L193" s="37"/>
      <c r="M193" s="35"/>
      <c r="N193" s="35"/>
      <c r="O193" s="44">
        <v>0</v>
      </c>
      <c r="P193" s="44">
        <v>83080</v>
      </c>
      <c r="Q193" s="44">
        <v>118810</v>
      </c>
      <c r="R193" s="44"/>
      <c r="S193" s="44"/>
      <c r="T193" s="44"/>
      <c r="U193" s="44"/>
      <c r="V193" s="44"/>
      <c r="W193" s="36"/>
    </row>
    <row r="194" spans="1:23" ht="22.5" customHeight="1" hidden="1">
      <c r="A194" s="317"/>
      <c r="B194" s="289"/>
      <c r="C194" s="289"/>
      <c r="D194" s="37" t="s">
        <v>154</v>
      </c>
      <c r="E194" s="37" t="s">
        <v>155</v>
      </c>
      <c r="F194" s="37" t="s">
        <v>156</v>
      </c>
      <c r="G194" s="37" t="s">
        <v>174</v>
      </c>
      <c r="H194" s="37" t="s">
        <v>157</v>
      </c>
      <c r="I194" s="37" t="s">
        <v>187</v>
      </c>
      <c r="J194" s="37" t="s">
        <v>154</v>
      </c>
      <c r="K194" s="37" t="s">
        <v>429</v>
      </c>
      <c r="L194" s="37" t="s">
        <v>76</v>
      </c>
      <c r="M194" s="35"/>
      <c r="N194" s="35"/>
      <c r="O194" s="44">
        <v>0</v>
      </c>
      <c r="P194" s="44">
        <v>25370</v>
      </c>
      <c r="Q194" s="44">
        <v>36290</v>
      </c>
      <c r="R194" s="44"/>
      <c r="S194" s="44"/>
      <c r="T194" s="44"/>
      <c r="U194" s="44"/>
      <c r="V194" s="44"/>
      <c r="W194" s="36"/>
    </row>
    <row r="195" spans="1:23" s="135" customFormat="1" ht="24" customHeight="1">
      <c r="A195" s="315" t="s">
        <v>179</v>
      </c>
      <c r="B195" s="288" t="s">
        <v>201</v>
      </c>
      <c r="C195" s="288" t="s">
        <v>106</v>
      </c>
      <c r="D195" s="37" t="s">
        <v>154</v>
      </c>
      <c r="E195" s="37" t="s">
        <v>155</v>
      </c>
      <c r="F195" s="37" t="s">
        <v>163</v>
      </c>
      <c r="G195" s="37"/>
      <c r="H195" s="37"/>
      <c r="I195" s="37"/>
      <c r="J195" s="37"/>
      <c r="K195" s="37"/>
      <c r="L195" s="37"/>
      <c r="M195" s="134">
        <v>260.4</v>
      </c>
      <c r="N195" s="134">
        <f>900</f>
        <v>900</v>
      </c>
      <c r="O195" s="44">
        <f>SUM(O196:O200)</f>
        <v>96441.09999999999</v>
      </c>
      <c r="P195" s="44">
        <f aca="true" t="shared" si="39" ref="P195:V195">SUM(P196:P200)</f>
        <v>0</v>
      </c>
      <c r="Q195" s="44">
        <f t="shared" si="39"/>
        <v>0</v>
      </c>
      <c r="R195" s="44">
        <f t="shared" si="39"/>
        <v>0</v>
      </c>
      <c r="S195" s="44">
        <f t="shared" si="39"/>
        <v>0</v>
      </c>
      <c r="T195" s="44">
        <f t="shared" si="39"/>
        <v>0</v>
      </c>
      <c r="U195" s="44">
        <f t="shared" si="39"/>
        <v>0</v>
      </c>
      <c r="V195" s="44">
        <f t="shared" si="39"/>
        <v>0</v>
      </c>
      <c r="W195" s="36"/>
    </row>
    <row r="196" spans="1:23" s="135" customFormat="1" ht="24" customHeight="1">
      <c r="A196" s="316"/>
      <c r="B196" s="312"/>
      <c r="C196" s="312"/>
      <c r="D196" s="37" t="s">
        <v>154</v>
      </c>
      <c r="E196" s="37" t="s">
        <v>155</v>
      </c>
      <c r="F196" s="37" t="s">
        <v>163</v>
      </c>
      <c r="G196" s="37" t="s">
        <v>155</v>
      </c>
      <c r="H196" s="37" t="s">
        <v>188</v>
      </c>
      <c r="I196" s="37" t="s">
        <v>182</v>
      </c>
      <c r="J196" s="37" t="s">
        <v>181</v>
      </c>
      <c r="K196" s="37" t="s">
        <v>107</v>
      </c>
      <c r="L196" s="37" t="s">
        <v>101</v>
      </c>
      <c r="M196" s="134"/>
      <c r="N196" s="134"/>
      <c r="O196" s="44">
        <v>86076.6</v>
      </c>
      <c r="P196" s="44"/>
      <c r="Q196" s="44"/>
      <c r="R196" s="44"/>
      <c r="S196" s="44"/>
      <c r="T196" s="44"/>
      <c r="U196" s="44"/>
      <c r="V196" s="44"/>
      <c r="W196" s="36"/>
    </row>
    <row r="197" spans="1:23" s="135" customFormat="1" ht="21" customHeight="1">
      <c r="A197" s="316"/>
      <c r="B197" s="312"/>
      <c r="C197" s="312"/>
      <c r="D197" s="37" t="s">
        <v>154</v>
      </c>
      <c r="E197" s="37" t="s">
        <v>155</v>
      </c>
      <c r="F197" s="37" t="s">
        <v>163</v>
      </c>
      <c r="G197" s="37" t="s">
        <v>154</v>
      </c>
      <c r="H197" s="37" t="s">
        <v>188</v>
      </c>
      <c r="I197" s="37" t="s">
        <v>182</v>
      </c>
      <c r="J197" s="37" t="s">
        <v>181</v>
      </c>
      <c r="K197" s="37" t="s">
        <v>107</v>
      </c>
      <c r="L197" s="37" t="s">
        <v>102</v>
      </c>
      <c r="M197" s="134"/>
      <c r="N197" s="134"/>
      <c r="O197" s="44">
        <v>55</v>
      </c>
      <c r="P197" s="44"/>
      <c r="Q197" s="44"/>
      <c r="R197" s="44"/>
      <c r="S197" s="44"/>
      <c r="T197" s="44"/>
      <c r="U197" s="44"/>
      <c r="V197" s="44"/>
      <c r="W197" s="36"/>
    </row>
    <row r="198" spans="1:23" s="135" customFormat="1" ht="22.5" customHeight="1">
      <c r="A198" s="316"/>
      <c r="B198" s="312"/>
      <c r="C198" s="312"/>
      <c r="D198" s="37" t="s">
        <v>154</v>
      </c>
      <c r="E198" s="37" t="s">
        <v>155</v>
      </c>
      <c r="F198" s="37" t="s">
        <v>163</v>
      </c>
      <c r="G198" s="37" t="s">
        <v>182</v>
      </c>
      <c r="H198" s="37" t="s">
        <v>188</v>
      </c>
      <c r="I198" s="37" t="s">
        <v>182</v>
      </c>
      <c r="J198" s="37" t="s">
        <v>181</v>
      </c>
      <c r="K198" s="37" t="s">
        <v>107</v>
      </c>
      <c r="L198" s="37" t="s">
        <v>103</v>
      </c>
      <c r="M198" s="134"/>
      <c r="N198" s="134"/>
      <c r="O198" s="44">
        <v>3394.4</v>
      </c>
      <c r="P198" s="44"/>
      <c r="Q198" s="44"/>
      <c r="R198" s="44"/>
      <c r="S198" s="44"/>
      <c r="T198" s="44"/>
      <c r="U198" s="44"/>
      <c r="V198" s="44"/>
      <c r="W198" s="36"/>
    </row>
    <row r="199" spans="1:23" s="135" customFormat="1" ht="39" customHeight="1">
      <c r="A199" s="316"/>
      <c r="B199" s="312"/>
      <c r="C199" s="312"/>
      <c r="D199" s="37" t="s">
        <v>154</v>
      </c>
      <c r="E199" s="37" t="s">
        <v>155</v>
      </c>
      <c r="F199" s="37" t="s">
        <v>163</v>
      </c>
      <c r="G199" s="37" t="s">
        <v>158</v>
      </c>
      <c r="H199" s="37" t="s">
        <v>188</v>
      </c>
      <c r="I199" s="37" t="s">
        <v>182</v>
      </c>
      <c r="J199" s="37" t="s">
        <v>181</v>
      </c>
      <c r="K199" s="37" t="s">
        <v>107</v>
      </c>
      <c r="L199" s="37" t="s">
        <v>96</v>
      </c>
      <c r="M199" s="134"/>
      <c r="N199" s="134"/>
      <c r="O199" s="44">
        <v>258.2</v>
      </c>
      <c r="P199" s="44"/>
      <c r="Q199" s="44"/>
      <c r="R199" s="44"/>
      <c r="S199" s="44"/>
      <c r="T199" s="44"/>
      <c r="U199" s="44"/>
      <c r="V199" s="44"/>
      <c r="W199" s="36"/>
    </row>
    <row r="200" spans="1:23" s="135" customFormat="1" ht="52.5" customHeight="1">
      <c r="A200" s="316"/>
      <c r="B200" s="312"/>
      <c r="C200" s="312"/>
      <c r="D200" s="37" t="s">
        <v>154</v>
      </c>
      <c r="E200" s="37" t="s">
        <v>155</v>
      </c>
      <c r="F200" s="37" t="s">
        <v>163</v>
      </c>
      <c r="G200" s="37" t="s">
        <v>169</v>
      </c>
      <c r="H200" s="37" t="s">
        <v>188</v>
      </c>
      <c r="I200" s="37" t="s">
        <v>182</v>
      </c>
      <c r="J200" s="37" t="s">
        <v>181</v>
      </c>
      <c r="K200" s="37" t="s">
        <v>107</v>
      </c>
      <c r="L200" s="37" t="s">
        <v>92</v>
      </c>
      <c r="M200" s="134"/>
      <c r="N200" s="134"/>
      <c r="O200" s="44">
        <v>6656.9</v>
      </c>
      <c r="P200" s="44"/>
      <c r="Q200" s="44"/>
      <c r="R200" s="44"/>
      <c r="S200" s="44"/>
      <c r="T200" s="44"/>
      <c r="U200" s="44"/>
      <c r="V200" s="44"/>
      <c r="W200" s="36"/>
    </row>
    <row r="201" spans="1:23" s="135" customFormat="1" ht="22.5" customHeight="1">
      <c r="A201" s="315" t="s">
        <v>179</v>
      </c>
      <c r="B201" s="288" t="s">
        <v>202</v>
      </c>
      <c r="C201" s="288" t="s">
        <v>106</v>
      </c>
      <c r="D201" s="37" t="s">
        <v>154</v>
      </c>
      <c r="E201" s="37" t="s">
        <v>155</v>
      </c>
      <c r="F201" s="37" t="s">
        <v>167</v>
      </c>
      <c r="G201" s="133"/>
      <c r="H201" s="133"/>
      <c r="I201" s="133"/>
      <c r="J201" s="133"/>
      <c r="K201" s="133"/>
      <c r="L201" s="133"/>
      <c r="M201" s="134">
        <v>0</v>
      </c>
      <c r="N201" s="134">
        <f>2664.8+18862.1+5832.3+3008.9</f>
        <v>30368.1</v>
      </c>
      <c r="O201" s="44">
        <f>O202+O203+O208+O215</f>
        <v>34305.8</v>
      </c>
      <c r="P201" s="44">
        <f>P202+P203+P208+P215</f>
        <v>0</v>
      </c>
      <c r="Q201" s="44">
        <f aca="true" t="shared" si="40" ref="Q201:V201">Q202+Q203+Q208+Q215</f>
        <v>0</v>
      </c>
      <c r="R201" s="44">
        <f t="shared" si="40"/>
        <v>0</v>
      </c>
      <c r="S201" s="44">
        <f t="shared" si="40"/>
        <v>0</v>
      </c>
      <c r="T201" s="44">
        <f t="shared" si="40"/>
        <v>0</v>
      </c>
      <c r="U201" s="44">
        <f t="shared" si="40"/>
        <v>0</v>
      </c>
      <c r="V201" s="44">
        <f t="shared" si="40"/>
        <v>0</v>
      </c>
      <c r="W201" s="36"/>
    </row>
    <row r="202" spans="1:23" s="135" customFormat="1" ht="22.5" customHeight="1">
      <c r="A202" s="316"/>
      <c r="B202" s="312"/>
      <c r="C202" s="312"/>
      <c r="D202" s="37" t="s">
        <v>154</v>
      </c>
      <c r="E202" s="37" t="s">
        <v>155</v>
      </c>
      <c r="F202" s="37" t="s">
        <v>167</v>
      </c>
      <c r="G202" s="37" t="s">
        <v>155</v>
      </c>
      <c r="H202" s="37" t="s">
        <v>188</v>
      </c>
      <c r="I202" s="37" t="s">
        <v>154</v>
      </c>
      <c r="J202" s="37" t="s">
        <v>158</v>
      </c>
      <c r="K202" s="37" t="s">
        <v>84</v>
      </c>
      <c r="L202" s="37" t="s">
        <v>85</v>
      </c>
      <c r="M202" s="35"/>
      <c r="N202" s="35"/>
      <c r="O202" s="44">
        <v>2585.2</v>
      </c>
      <c r="P202" s="44"/>
      <c r="Q202" s="44"/>
      <c r="R202" s="44"/>
      <c r="S202" s="44"/>
      <c r="T202" s="44"/>
      <c r="U202" s="44"/>
      <c r="V202" s="44"/>
      <c r="W202" s="36"/>
    </row>
    <row r="203" spans="1:23" s="135" customFormat="1" ht="19.5" customHeight="1">
      <c r="A203" s="316"/>
      <c r="B203" s="312"/>
      <c r="C203" s="31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4"/>
      <c r="N203" s="134"/>
      <c r="O203" s="44">
        <f>SUM(O204:O207)</f>
        <v>22846.8</v>
      </c>
      <c r="P203" s="44"/>
      <c r="Q203" s="44"/>
      <c r="R203" s="44"/>
      <c r="S203" s="44"/>
      <c r="T203" s="44"/>
      <c r="U203" s="44"/>
      <c r="V203" s="44"/>
      <c r="W203" s="36"/>
    </row>
    <row r="204" spans="1:23" s="135" customFormat="1" ht="19.5" customHeight="1">
      <c r="A204" s="316"/>
      <c r="B204" s="312"/>
      <c r="C204" s="312"/>
      <c r="D204" s="37" t="s">
        <v>154</v>
      </c>
      <c r="E204" s="37" t="s">
        <v>155</v>
      </c>
      <c r="F204" s="37" t="s">
        <v>167</v>
      </c>
      <c r="G204" s="37" t="s">
        <v>154</v>
      </c>
      <c r="H204" s="37" t="s">
        <v>188</v>
      </c>
      <c r="I204" s="37" t="s">
        <v>182</v>
      </c>
      <c r="J204" s="37" t="s">
        <v>190</v>
      </c>
      <c r="K204" s="37" t="s">
        <v>84</v>
      </c>
      <c r="L204" s="37" t="s">
        <v>101</v>
      </c>
      <c r="M204" s="134"/>
      <c r="N204" s="134"/>
      <c r="O204" s="44">
        <v>16221.3</v>
      </c>
      <c r="P204" s="44"/>
      <c r="Q204" s="44"/>
      <c r="R204" s="44"/>
      <c r="S204" s="44"/>
      <c r="T204" s="44"/>
      <c r="U204" s="44"/>
      <c r="V204" s="44"/>
      <c r="W204" s="36"/>
    </row>
    <row r="205" spans="1:23" s="135" customFormat="1" ht="19.5" customHeight="1">
      <c r="A205" s="316"/>
      <c r="B205" s="312"/>
      <c r="C205" s="312"/>
      <c r="D205" s="37" t="s">
        <v>154</v>
      </c>
      <c r="E205" s="37" t="s">
        <v>155</v>
      </c>
      <c r="F205" s="37" t="s">
        <v>167</v>
      </c>
      <c r="G205" s="37" t="s">
        <v>182</v>
      </c>
      <c r="H205" s="37" t="s">
        <v>188</v>
      </c>
      <c r="I205" s="37" t="s">
        <v>182</v>
      </c>
      <c r="J205" s="37" t="s">
        <v>190</v>
      </c>
      <c r="K205" s="37" t="s">
        <v>84</v>
      </c>
      <c r="L205" s="37" t="s">
        <v>102</v>
      </c>
      <c r="M205" s="134"/>
      <c r="N205" s="134"/>
      <c r="O205" s="44">
        <v>590.5</v>
      </c>
      <c r="P205" s="44"/>
      <c r="Q205" s="44"/>
      <c r="R205" s="44"/>
      <c r="S205" s="44"/>
      <c r="T205" s="44"/>
      <c r="U205" s="44"/>
      <c r="V205" s="44"/>
      <c r="W205" s="36"/>
    </row>
    <row r="206" spans="1:23" s="135" customFormat="1" ht="22.5" customHeight="1">
      <c r="A206" s="316"/>
      <c r="B206" s="312"/>
      <c r="C206" s="312"/>
      <c r="D206" s="37" t="s">
        <v>154</v>
      </c>
      <c r="E206" s="37" t="s">
        <v>155</v>
      </c>
      <c r="F206" s="37" t="s">
        <v>167</v>
      </c>
      <c r="G206" s="37" t="s">
        <v>158</v>
      </c>
      <c r="H206" s="37" t="s">
        <v>188</v>
      </c>
      <c r="I206" s="37" t="s">
        <v>182</v>
      </c>
      <c r="J206" s="37" t="s">
        <v>190</v>
      </c>
      <c r="K206" s="37" t="s">
        <v>84</v>
      </c>
      <c r="L206" s="37" t="s">
        <v>96</v>
      </c>
      <c r="M206" s="134"/>
      <c r="N206" s="134"/>
      <c r="O206" s="44">
        <v>2804.1</v>
      </c>
      <c r="P206" s="44"/>
      <c r="Q206" s="44"/>
      <c r="R206" s="44"/>
      <c r="S206" s="44"/>
      <c r="T206" s="44"/>
      <c r="U206" s="44"/>
      <c r="V206" s="44"/>
      <c r="W206" s="36"/>
    </row>
    <row r="207" spans="1:23" s="135" customFormat="1" ht="25.5" customHeight="1">
      <c r="A207" s="316"/>
      <c r="B207" s="312"/>
      <c r="C207" s="312"/>
      <c r="D207" s="37" t="s">
        <v>154</v>
      </c>
      <c r="E207" s="37" t="s">
        <v>155</v>
      </c>
      <c r="F207" s="37" t="s">
        <v>167</v>
      </c>
      <c r="G207" s="37" t="s">
        <v>169</v>
      </c>
      <c r="H207" s="37" t="s">
        <v>188</v>
      </c>
      <c r="I207" s="37" t="s">
        <v>182</v>
      </c>
      <c r="J207" s="37" t="s">
        <v>190</v>
      </c>
      <c r="K207" s="37" t="s">
        <v>84</v>
      </c>
      <c r="L207" s="37" t="s">
        <v>92</v>
      </c>
      <c r="M207" s="134"/>
      <c r="N207" s="134"/>
      <c r="O207" s="44">
        <v>3230.9</v>
      </c>
      <c r="P207" s="44"/>
      <c r="Q207" s="44"/>
      <c r="R207" s="44"/>
      <c r="S207" s="44"/>
      <c r="T207" s="44"/>
      <c r="U207" s="44"/>
      <c r="V207" s="44"/>
      <c r="W207" s="36"/>
    </row>
    <row r="208" spans="1:23" s="135" customFormat="1" ht="19.5" customHeight="1">
      <c r="A208" s="316"/>
      <c r="B208" s="312"/>
      <c r="C208" s="312"/>
      <c r="D208" s="37"/>
      <c r="E208" s="37"/>
      <c r="F208" s="37"/>
      <c r="G208" s="37"/>
      <c r="H208" s="37"/>
      <c r="I208" s="37"/>
      <c r="J208" s="37"/>
      <c r="K208" s="37"/>
      <c r="L208" s="37"/>
      <c r="M208" s="134"/>
      <c r="N208" s="134"/>
      <c r="O208" s="44">
        <f>SUM(O209:O214)</f>
        <v>8017.5</v>
      </c>
      <c r="P208" s="44"/>
      <c r="Q208" s="44"/>
      <c r="R208" s="44"/>
      <c r="S208" s="44"/>
      <c r="T208" s="44"/>
      <c r="U208" s="44"/>
      <c r="V208" s="44"/>
      <c r="W208" s="36"/>
    </row>
    <row r="209" spans="1:23" s="135" customFormat="1" ht="24.75" customHeight="1">
      <c r="A209" s="316"/>
      <c r="B209" s="312"/>
      <c r="C209" s="312"/>
      <c r="D209" s="37" t="s">
        <v>154</v>
      </c>
      <c r="E209" s="37" t="s">
        <v>155</v>
      </c>
      <c r="F209" s="37" t="s">
        <v>167</v>
      </c>
      <c r="G209" s="37" t="s">
        <v>186</v>
      </c>
      <c r="H209" s="37" t="s">
        <v>188</v>
      </c>
      <c r="I209" s="37" t="s">
        <v>182</v>
      </c>
      <c r="J209" s="37" t="s">
        <v>156</v>
      </c>
      <c r="K209" s="37" t="s">
        <v>84</v>
      </c>
      <c r="L209" s="37" t="s">
        <v>102</v>
      </c>
      <c r="M209" s="134"/>
      <c r="N209" s="134"/>
      <c r="O209" s="44">
        <v>514.2</v>
      </c>
      <c r="P209" s="44"/>
      <c r="Q209" s="44"/>
      <c r="R209" s="44"/>
      <c r="S209" s="44"/>
      <c r="T209" s="44"/>
      <c r="U209" s="44"/>
      <c r="V209" s="44"/>
      <c r="W209" s="36"/>
    </row>
    <row r="210" spans="1:23" s="135" customFormat="1" ht="24.75" customHeight="1">
      <c r="A210" s="316"/>
      <c r="B210" s="312"/>
      <c r="C210" s="312"/>
      <c r="D210" s="37" t="s">
        <v>154</v>
      </c>
      <c r="E210" s="37" t="s">
        <v>155</v>
      </c>
      <c r="F210" s="37" t="s">
        <v>167</v>
      </c>
      <c r="G210" s="37" t="s">
        <v>187</v>
      </c>
      <c r="H210" s="37" t="s">
        <v>188</v>
      </c>
      <c r="I210" s="37" t="s">
        <v>182</v>
      </c>
      <c r="J210" s="37" t="s">
        <v>156</v>
      </c>
      <c r="K210" s="37" t="s">
        <v>84</v>
      </c>
      <c r="L210" s="37" t="s">
        <v>96</v>
      </c>
      <c r="M210" s="134"/>
      <c r="N210" s="134"/>
      <c r="O210" s="44">
        <v>1230.7</v>
      </c>
      <c r="P210" s="44"/>
      <c r="Q210" s="44"/>
      <c r="R210" s="44"/>
      <c r="S210" s="44"/>
      <c r="T210" s="44"/>
      <c r="U210" s="44"/>
      <c r="V210" s="44"/>
      <c r="W210" s="36"/>
    </row>
    <row r="211" spans="1:23" s="135" customFormat="1" ht="24.75" customHeight="1">
      <c r="A211" s="316"/>
      <c r="B211" s="312"/>
      <c r="C211" s="312"/>
      <c r="D211" s="37" t="s">
        <v>154</v>
      </c>
      <c r="E211" s="37" t="s">
        <v>155</v>
      </c>
      <c r="F211" s="37" t="s">
        <v>167</v>
      </c>
      <c r="G211" s="37" t="s">
        <v>174</v>
      </c>
      <c r="H211" s="37" t="s">
        <v>188</v>
      </c>
      <c r="I211" s="37" t="s">
        <v>182</v>
      </c>
      <c r="J211" s="37" t="s">
        <v>156</v>
      </c>
      <c r="K211" s="37" t="s">
        <v>84</v>
      </c>
      <c r="L211" s="37" t="s">
        <v>92</v>
      </c>
      <c r="M211" s="134"/>
      <c r="N211" s="134"/>
      <c r="O211" s="44">
        <v>4677.8</v>
      </c>
      <c r="P211" s="44"/>
      <c r="Q211" s="44"/>
      <c r="R211" s="44"/>
      <c r="S211" s="44"/>
      <c r="T211" s="44"/>
      <c r="U211" s="44"/>
      <c r="V211" s="44"/>
      <c r="W211" s="36"/>
    </row>
    <row r="212" spans="1:23" s="135" customFormat="1" ht="24.75" customHeight="1">
      <c r="A212" s="316"/>
      <c r="B212" s="312"/>
      <c r="C212" s="312"/>
      <c r="D212" s="37" t="s">
        <v>154</v>
      </c>
      <c r="E212" s="37" t="s">
        <v>155</v>
      </c>
      <c r="F212" s="37" t="s">
        <v>167</v>
      </c>
      <c r="G212" s="37" t="s">
        <v>190</v>
      </c>
      <c r="H212" s="37" t="s">
        <v>188</v>
      </c>
      <c r="I212" s="37" t="s">
        <v>182</v>
      </c>
      <c r="J212" s="37" t="s">
        <v>156</v>
      </c>
      <c r="K212" s="37" t="s">
        <v>84</v>
      </c>
      <c r="L212" s="37" t="s">
        <v>97</v>
      </c>
      <c r="M212" s="134"/>
      <c r="N212" s="134"/>
      <c r="O212" s="44">
        <v>350.2</v>
      </c>
      <c r="P212" s="44"/>
      <c r="Q212" s="44"/>
      <c r="R212" s="44"/>
      <c r="S212" s="44"/>
      <c r="T212" s="44"/>
      <c r="U212" s="44"/>
      <c r="V212" s="44"/>
      <c r="W212" s="36"/>
    </row>
    <row r="213" spans="1:23" s="135" customFormat="1" ht="24.75" customHeight="1">
      <c r="A213" s="316"/>
      <c r="B213" s="312"/>
      <c r="C213" s="312"/>
      <c r="D213" s="37" t="s">
        <v>154</v>
      </c>
      <c r="E213" s="37" t="s">
        <v>155</v>
      </c>
      <c r="F213" s="37" t="s">
        <v>167</v>
      </c>
      <c r="G213" s="37" t="s">
        <v>181</v>
      </c>
      <c r="H213" s="37" t="s">
        <v>188</v>
      </c>
      <c r="I213" s="37" t="s">
        <v>182</v>
      </c>
      <c r="J213" s="37" t="s">
        <v>156</v>
      </c>
      <c r="K213" s="37" t="s">
        <v>84</v>
      </c>
      <c r="L213" s="37" t="s">
        <v>98</v>
      </c>
      <c r="M213" s="134"/>
      <c r="N213" s="134"/>
      <c r="O213" s="44">
        <v>1122.7</v>
      </c>
      <c r="P213" s="44"/>
      <c r="Q213" s="44"/>
      <c r="R213" s="44"/>
      <c r="S213" s="44"/>
      <c r="T213" s="44"/>
      <c r="U213" s="44"/>
      <c r="V213" s="44"/>
      <c r="W213" s="36"/>
    </row>
    <row r="214" spans="1:23" s="135" customFormat="1" ht="24.75" customHeight="1">
      <c r="A214" s="316"/>
      <c r="B214" s="312"/>
      <c r="C214" s="312"/>
      <c r="D214" s="37" t="s">
        <v>154</v>
      </c>
      <c r="E214" s="37" t="s">
        <v>155</v>
      </c>
      <c r="F214" s="37" t="s">
        <v>167</v>
      </c>
      <c r="G214" s="37" t="s">
        <v>191</v>
      </c>
      <c r="H214" s="37" t="s">
        <v>188</v>
      </c>
      <c r="I214" s="37" t="s">
        <v>182</v>
      </c>
      <c r="J214" s="37" t="s">
        <v>156</v>
      </c>
      <c r="K214" s="37" t="s">
        <v>84</v>
      </c>
      <c r="L214" s="37" t="s">
        <v>99</v>
      </c>
      <c r="M214" s="134"/>
      <c r="N214" s="134"/>
      <c r="O214" s="44">
        <v>121.9</v>
      </c>
      <c r="P214" s="44"/>
      <c r="Q214" s="44"/>
      <c r="R214" s="44"/>
      <c r="S214" s="44"/>
      <c r="T214" s="44"/>
      <c r="U214" s="44"/>
      <c r="V214" s="44"/>
      <c r="W214" s="36"/>
    </row>
    <row r="215" spans="1:23" s="135" customFormat="1" ht="21" customHeight="1">
      <c r="A215" s="316"/>
      <c r="B215" s="312"/>
      <c r="C215" s="312"/>
      <c r="D215" s="37"/>
      <c r="E215" s="37"/>
      <c r="F215" s="37"/>
      <c r="G215" s="37"/>
      <c r="H215" s="37"/>
      <c r="I215" s="37"/>
      <c r="J215" s="37"/>
      <c r="K215" s="37"/>
      <c r="L215" s="37"/>
      <c r="M215" s="134"/>
      <c r="N215" s="134"/>
      <c r="O215" s="44">
        <f>SUM(O216:O219)</f>
        <v>856.3</v>
      </c>
      <c r="P215" s="44"/>
      <c r="Q215" s="44"/>
      <c r="R215" s="44"/>
      <c r="S215" s="44"/>
      <c r="T215" s="44"/>
      <c r="U215" s="44"/>
      <c r="V215" s="44"/>
      <c r="W215" s="36"/>
    </row>
    <row r="216" spans="1:23" s="135" customFormat="1" ht="21.75" customHeight="1">
      <c r="A216" s="316"/>
      <c r="B216" s="312"/>
      <c r="C216" s="312"/>
      <c r="D216" s="37" t="s">
        <v>154</v>
      </c>
      <c r="E216" s="37" t="s">
        <v>155</v>
      </c>
      <c r="F216" s="37" t="s">
        <v>167</v>
      </c>
      <c r="G216" s="37" t="s">
        <v>159</v>
      </c>
      <c r="H216" s="37" t="s">
        <v>188</v>
      </c>
      <c r="I216" s="37" t="s">
        <v>187</v>
      </c>
      <c r="J216" s="37" t="s">
        <v>169</v>
      </c>
      <c r="K216" s="37" t="s">
        <v>84</v>
      </c>
      <c r="L216" s="37" t="s">
        <v>101</v>
      </c>
      <c r="M216" s="134"/>
      <c r="N216" s="134"/>
      <c r="O216" s="44">
        <v>777.4</v>
      </c>
      <c r="P216" s="44"/>
      <c r="Q216" s="44"/>
      <c r="R216" s="44"/>
      <c r="S216" s="44"/>
      <c r="T216" s="44"/>
      <c r="U216" s="44"/>
      <c r="V216" s="44"/>
      <c r="W216" s="36"/>
    </row>
    <row r="217" spans="1:23" s="135" customFormat="1" ht="20.25" customHeight="1">
      <c r="A217" s="316"/>
      <c r="B217" s="312"/>
      <c r="C217" s="312"/>
      <c r="D217" s="37" t="s">
        <v>154</v>
      </c>
      <c r="E217" s="37" t="s">
        <v>155</v>
      </c>
      <c r="F217" s="37" t="s">
        <v>167</v>
      </c>
      <c r="G217" s="37" t="s">
        <v>192</v>
      </c>
      <c r="H217" s="37" t="s">
        <v>188</v>
      </c>
      <c r="I217" s="37" t="s">
        <v>187</v>
      </c>
      <c r="J217" s="37" t="s">
        <v>169</v>
      </c>
      <c r="K217" s="37" t="s">
        <v>84</v>
      </c>
      <c r="L217" s="37" t="s">
        <v>102</v>
      </c>
      <c r="M217" s="134"/>
      <c r="N217" s="134"/>
      <c r="O217" s="44">
        <v>4.5</v>
      </c>
      <c r="P217" s="44"/>
      <c r="Q217" s="44"/>
      <c r="R217" s="44"/>
      <c r="S217" s="44"/>
      <c r="T217" s="44"/>
      <c r="U217" s="44"/>
      <c r="V217" s="44"/>
      <c r="W217" s="36"/>
    </row>
    <row r="218" spans="1:23" s="135" customFormat="1" ht="21" customHeight="1">
      <c r="A218" s="316"/>
      <c r="B218" s="312"/>
      <c r="C218" s="312"/>
      <c r="D218" s="37" t="s">
        <v>154</v>
      </c>
      <c r="E218" s="37" t="s">
        <v>155</v>
      </c>
      <c r="F218" s="37" t="s">
        <v>167</v>
      </c>
      <c r="G218" s="37" t="s">
        <v>156</v>
      </c>
      <c r="H218" s="37" t="s">
        <v>188</v>
      </c>
      <c r="I218" s="37" t="s">
        <v>187</v>
      </c>
      <c r="J218" s="37" t="s">
        <v>169</v>
      </c>
      <c r="K218" s="37" t="s">
        <v>84</v>
      </c>
      <c r="L218" s="37" t="s">
        <v>96</v>
      </c>
      <c r="M218" s="134"/>
      <c r="N218" s="134"/>
      <c r="O218" s="44">
        <v>1</v>
      </c>
      <c r="P218" s="44"/>
      <c r="Q218" s="44"/>
      <c r="R218" s="44"/>
      <c r="S218" s="44"/>
      <c r="T218" s="44"/>
      <c r="U218" s="44"/>
      <c r="V218" s="44"/>
      <c r="W218" s="36"/>
    </row>
    <row r="219" spans="1:23" s="135" customFormat="1" ht="21" customHeight="1">
      <c r="A219" s="317"/>
      <c r="B219" s="289"/>
      <c r="C219" s="289"/>
      <c r="D219" s="37" t="s">
        <v>154</v>
      </c>
      <c r="E219" s="37" t="s">
        <v>155</v>
      </c>
      <c r="F219" s="37" t="s">
        <v>167</v>
      </c>
      <c r="G219" s="37" t="s">
        <v>163</v>
      </c>
      <c r="H219" s="37" t="s">
        <v>188</v>
      </c>
      <c r="I219" s="37" t="s">
        <v>187</v>
      </c>
      <c r="J219" s="37" t="s">
        <v>169</v>
      </c>
      <c r="K219" s="37" t="s">
        <v>84</v>
      </c>
      <c r="L219" s="37" t="s">
        <v>92</v>
      </c>
      <c r="M219" s="134"/>
      <c r="N219" s="134"/>
      <c r="O219" s="44">
        <v>73.4</v>
      </c>
      <c r="P219" s="44"/>
      <c r="Q219" s="44"/>
      <c r="R219" s="44"/>
      <c r="S219" s="44"/>
      <c r="T219" s="44"/>
      <c r="U219" s="44"/>
      <c r="V219" s="44"/>
      <c r="W219" s="36"/>
    </row>
    <row r="220" spans="1:23" ht="76.5" customHeight="1">
      <c r="A220" s="315" t="s">
        <v>179</v>
      </c>
      <c r="B220" s="288" t="s">
        <v>115</v>
      </c>
      <c r="C220" s="318" t="s">
        <v>60</v>
      </c>
      <c r="D220" s="37" t="s">
        <v>154</v>
      </c>
      <c r="E220" s="37" t="s">
        <v>155</v>
      </c>
      <c r="F220" s="37" t="s">
        <v>172</v>
      </c>
      <c r="G220" s="37"/>
      <c r="H220" s="37"/>
      <c r="I220" s="37"/>
      <c r="J220" s="37"/>
      <c r="K220" s="37"/>
      <c r="L220" s="37"/>
      <c r="M220" s="35"/>
      <c r="N220" s="35"/>
      <c r="O220" s="44">
        <f>O221</f>
        <v>0</v>
      </c>
      <c r="P220" s="44">
        <f aca="true" t="shared" si="41" ref="P220:V220">P221</f>
        <v>1000</v>
      </c>
      <c r="Q220" s="44">
        <f t="shared" si="41"/>
        <v>0</v>
      </c>
      <c r="R220" s="44">
        <f t="shared" si="41"/>
        <v>0</v>
      </c>
      <c r="S220" s="44">
        <f t="shared" si="41"/>
        <v>0</v>
      </c>
      <c r="T220" s="44">
        <f t="shared" si="41"/>
        <v>0</v>
      </c>
      <c r="U220" s="44">
        <f t="shared" si="41"/>
        <v>0</v>
      </c>
      <c r="V220" s="44">
        <f t="shared" si="41"/>
        <v>0</v>
      </c>
      <c r="W220" s="36"/>
    </row>
    <row r="221" spans="1:23" ht="21" customHeight="1">
      <c r="A221" s="316"/>
      <c r="B221" s="312"/>
      <c r="C221" s="319"/>
      <c r="D221" s="37" t="s">
        <v>154</v>
      </c>
      <c r="E221" s="37" t="s">
        <v>155</v>
      </c>
      <c r="F221" s="37" t="s">
        <v>172</v>
      </c>
      <c r="G221" s="37" t="s">
        <v>155</v>
      </c>
      <c r="H221" s="37" t="s">
        <v>164</v>
      </c>
      <c r="I221" s="37" t="s">
        <v>158</v>
      </c>
      <c r="J221" s="37" t="s">
        <v>155</v>
      </c>
      <c r="K221" s="37" t="s">
        <v>396</v>
      </c>
      <c r="L221" s="37" t="s">
        <v>96</v>
      </c>
      <c r="M221" s="35"/>
      <c r="N221" s="35"/>
      <c r="O221" s="44">
        <v>0</v>
      </c>
      <c r="P221" s="44">
        <v>1000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36"/>
    </row>
    <row r="222" spans="1:23" s="119" customFormat="1" ht="27.75" customHeight="1">
      <c r="A222" s="315" t="s">
        <v>179</v>
      </c>
      <c r="B222" s="288" t="s">
        <v>362</v>
      </c>
      <c r="C222" s="288" t="s">
        <v>9</v>
      </c>
      <c r="D222" s="37" t="s">
        <v>154</v>
      </c>
      <c r="E222" s="37" t="s">
        <v>155</v>
      </c>
      <c r="F222" s="37" t="s">
        <v>430</v>
      </c>
      <c r="G222" s="37"/>
      <c r="H222" s="37"/>
      <c r="I222" s="37"/>
      <c r="J222" s="37"/>
      <c r="K222" s="37"/>
      <c r="L222" s="37"/>
      <c r="M222" s="35"/>
      <c r="N222" s="35"/>
      <c r="O222" s="44">
        <f>O223+O224</f>
        <v>17009.3</v>
      </c>
      <c r="P222" s="44">
        <f>SUM(P225:P227)</f>
        <v>38008.4</v>
      </c>
      <c r="Q222" s="44">
        <f aca="true" t="shared" si="42" ref="Q222:V222">SUM(Q225:Q227)</f>
        <v>38008.4</v>
      </c>
      <c r="R222" s="44">
        <f t="shared" si="42"/>
        <v>38008.4</v>
      </c>
      <c r="S222" s="44">
        <f t="shared" si="42"/>
        <v>38008.4</v>
      </c>
      <c r="T222" s="44">
        <f t="shared" si="42"/>
        <v>38008.4</v>
      </c>
      <c r="U222" s="44">
        <f t="shared" si="42"/>
        <v>38008.4</v>
      </c>
      <c r="V222" s="44">
        <f t="shared" si="42"/>
        <v>38008.4</v>
      </c>
      <c r="W222" s="36"/>
    </row>
    <row r="223" spans="1:23" s="119" customFormat="1" ht="33.75" customHeight="1">
      <c r="A223" s="316"/>
      <c r="B223" s="312"/>
      <c r="C223" s="312"/>
      <c r="D223" s="37" t="s">
        <v>154</v>
      </c>
      <c r="E223" s="37" t="s">
        <v>155</v>
      </c>
      <c r="F223" s="37" t="s">
        <v>430</v>
      </c>
      <c r="G223" s="37" t="s">
        <v>155</v>
      </c>
      <c r="H223" s="37" t="s">
        <v>157</v>
      </c>
      <c r="I223" s="37" t="s">
        <v>169</v>
      </c>
      <c r="J223" s="37" t="s">
        <v>154</v>
      </c>
      <c r="K223" s="37" t="s">
        <v>81</v>
      </c>
      <c r="L223" s="37" t="s">
        <v>82</v>
      </c>
      <c r="M223" s="35"/>
      <c r="N223" s="35"/>
      <c r="O223" s="44">
        <v>16957</v>
      </c>
      <c r="P223" s="44"/>
      <c r="Q223" s="44"/>
      <c r="R223" s="44"/>
      <c r="S223" s="44"/>
      <c r="T223" s="44"/>
      <c r="U223" s="44"/>
      <c r="V223" s="44"/>
      <c r="W223" s="36"/>
    </row>
    <row r="224" spans="1:23" s="119" customFormat="1" ht="24.75" customHeight="1">
      <c r="A224" s="316"/>
      <c r="B224" s="312"/>
      <c r="C224" s="312"/>
      <c r="D224" s="37" t="s">
        <v>154</v>
      </c>
      <c r="E224" s="37" t="s">
        <v>155</v>
      </c>
      <c r="F224" s="37" t="s">
        <v>430</v>
      </c>
      <c r="G224" s="37" t="s">
        <v>154</v>
      </c>
      <c r="H224" s="37" t="s">
        <v>157</v>
      </c>
      <c r="I224" s="37" t="s">
        <v>155</v>
      </c>
      <c r="J224" s="37" t="s">
        <v>158</v>
      </c>
      <c r="K224" s="37" t="s">
        <v>214</v>
      </c>
      <c r="L224" s="37" t="s">
        <v>82</v>
      </c>
      <c r="M224" s="35"/>
      <c r="N224" s="35"/>
      <c r="O224" s="44">
        <v>52.3</v>
      </c>
      <c r="P224" s="44"/>
      <c r="Q224" s="44"/>
      <c r="R224" s="44"/>
      <c r="S224" s="44"/>
      <c r="T224" s="44"/>
      <c r="U224" s="44"/>
      <c r="V224" s="44"/>
      <c r="W224" s="36"/>
    </row>
    <row r="225" spans="1:23" s="119" customFormat="1" ht="27" customHeight="1">
      <c r="A225" s="316"/>
      <c r="B225" s="312"/>
      <c r="C225" s="312"/>
      <c r="D225" s="37" t="s">
        <v>154</v>
      </c>
      <c r="E225" s="37" t="s">
        <v>155</v>
      </c>
      <c r="F225" s="37" t="s">
        <v>430</v>
      </c>
      <c r="G225" s="37" t="s">
        <v>182</v>
      </c>
      <c r="H225" s="37" t="s">
        <v>157</v>
      </c>
      <c r="I225" s="37" t="s">
        <v>169</v>
      </c>
      <c r="J225" s="37" t="s">
        <v>154</v>
      </c>
      <c r="K225" s="37" t="s">
        <v>595</v>
      </c>
      <c r="L225" s="37" t="s">
        <v>82</v>
      </c>
      <c r="M225" s="35"/>
      <c r="N225" s="35"/>
      <c r="O225" s="44">
        <v>0</v>
      </c>
      <c r="P225" s="44">
        <v>20000</v>
      </c>
      <c r="Q225" s="44">
        <v>20000</v>
      </c>
      <c r="R225" s="44">
        <v>20000</v>
      </c>
      <c r="S225" s="44">
        <v>20000</v>
      </c>
      <c r="T225" s="44">
        <v>20000</v>
      </c>
      <c r="U225" s="44">
        <v>20000</v>
      </c>
      <c r="V225" s="44">
        <v>20000</v>
      </c>
      <c r="W225" s="36"/>
    </row>
    <row r="226" spans="1:23" s="119" customFormat="1" ht="21" customHeight="1">
      <c r="A226" s="316"/>
      <c r="B226" s="312"/>
      <c r="C226" s="312"/>
      <c r="D226" s="37" t="s">
        <v>154</v>
      </c>
      <c r="E226" s="37" t="s">
        <v>155</v>
      </c>
      <c r="F226" s="37" t="s">
        <v>430</v>
      </c>
      <c r="G226" s="37" t="s">
        <v>158</v>
      </c>
      <c r="H226" s="37" t="s">
        <v>157</v>
      </c>
      <c r="I226" s="37" t="s">
        <v>155</v>
      </c>
      <c r="J226" s="37" t="s">
        <v>158</v>
      </c>
      <c r="K226" s="37" t="s">
        <v>594</v>
      </c>
      <c r="L226" s="37" t="s">
        <v>82</v>
      </c>
      <c r="M226" s="35"/>
      <c r="N226" s="35"/>
      <c r="O226" s="44">
        <v>0</v>
      </c>
      <c r="P226" s="44">
        <v>69.4</v>
      </c>
      <c r="Q226" s="44">
        <v>69.4</v>
      </c>
      <c r="R226" s="44">
        <v>69.4</v>
      </c>
      <c r="S226" s="44">
        <v>69.4</v>
      </c>
      <c r="T226" s="44">
        <v>69.4</v>
      </c>
      <c r="U226" s="44">
        <v>69.4</v>
      </c>
      <c r="V226" s="44">
        <v>69.4</v>
      </c>
      <c r="W226" s="36"/>
    </row>
    <row r="227" spans="1:23" s="119" customFormat="1" ht="27.75" customHeight="1">
      <c r="A227" s="317"/>
      <c r="B227" s="289"/>
      <c r="C227" s="289"/>
      <c r="D227" s="37" t="s">
        <v>154</v>
      </c>
      <c r="E227" s="37" t="s">
        <v>155</v>
      </c>
      <c r="F227" s="37" t="s">
        <v>430</v>
      </c>
      <c r="G227" s="37" t="s">
        <v>169</v>
      </c>
      <c r="H227" s="37" t="s">
        <v>157</v>
      </c>
      <c r="I227" s="37" t="s">
        <v>169</v>
      </c>
      <c r="J227" s="37" t="s">
        <v>154</v>
      </c>
      <c r="K227" s="37" t="s">
        <v>596</v>
      </c>
      <c r="L227" s="37" t="s">
        <v>82</v>
      </c>
      <c r="M227" s="35"/>
      <c r="N227" s="35"/>
      <c r="O227" s="44">
        <v>0</v>
      </c>
      <c r="P227" s="44">
        <v>17939</v>
      </c>
      <c r="Q227" s="44">
        <v>17939</v>
      </c>
      <c r="R227" s="44">
        <v>17939</v>
      </c>
      <c r="S227" s="44">
        <v>17939</v>
      </c>
      <c r="T227" s="44">
        <v>17939</v>
      </c>
      <c r="U227" s="44">
        <v>17939</v>
      </c>
      <c r="V227" s="44">
        <v>17939</v>
      </c>
      <c r="W227" s="36"/>
    </row>
    <row r="228" ht="0.75" customHeight="1" hidden="1"/>
    <row r="229" ht="12.75" hidden="1"/>
    <row r="230" ht="12.75" hidden="1"/>
    <row r="231" spans="1:23" s="119" customFormat="1" ht="24" customHeight="1">
      <c r="A231" s="315" t="s">
        <v>179</v>
      </c>
      <c r="B231" s="288" t="s">
        <v>387</v>
      </c>
      <c r="C231" s="326" t="s">
        <v>9</v>
      </c>
      <c r="D231" s="37" t="s">
        <v>154</v>
      </c>
      <c r="E231" s="37" t="s">
        <v>155</v>
      </c>
      <c r="F231" s="37" t="s">
        <v>432</v>
      </c>
      <c r="G231" s="37"/>
      <c r="H231" s="37"/>
      <c r="I231" s="37"/>
      <c r="J231" s="37"/>
      <c r="K231" s="37"/>
      <c r="L231" s="37"/>
      <c r="M231" s="35"/>
      <c r="N231" s="35"/>
      <c r="O231" s="44">
        <f>SUM(O232:O236)</f>
        <v>34037.5</v>
      </c>
      <c r="P231" s="44">
        <f>SUM(P232:P234)</f>
        <v>6685</v>
      </c>
      <c r="Q231" s="44">
        <f aca="true" t="shared" si="43" ref="Q231:V231">SUM(Q232:Q234)</f>
        <v>6685</v>
      </c>
      <c r="R231" s="44">
        <f t="shared" si="43"/>
        <v>6685</v>
      </c>
      <c r="S231" s="44">
        <f t="shared" si="43"/>
        <v>6685</v>
      </c>
      <c r="T231" s="44">
        <f t="shared" si="43"/>
        <v>6685</v>
      </c>
      <c r="U231" s="44">
        <f t="shared" si="43"/>
        <v>6685</v>
      </c>
      <c r="V231" s="44">
        <f t="shared" si="43"/>
        <v>6685</v>
      </c>
      <c r="W231" s="36"/>
    </row>
    <row r="232" spans="1:24" s="119" customFormat="1" ht="26.25" customHeight="1">
      <c r="A232" s="316"/>
      <c r="B232" s="312"/>
      <c r="C232" s="327"/>
      <c r="D232" s="37" t="s">
        <v>154</v>
      </c>
      <c r="E232" s="37" t="s">
        <v>155</v>
      </c>
      <c r="F232" s="37" t="s">
        <v>432</v>
      </c>
      <c r="G232" s="37" t="s">
        <v>155</v>
      </c>
      <c r="H232" s="37" t="s">
        <v>157</v>
      </c>
      <c r="I232" s="37" t="s">
        <v>169</v>
      </c>
      <c r="J232" s="37" t="s">
        <v>155</v>
      </c>
      <c r="K232" s="37" t="s">
        <v>388</v>
      </c>
      <c r="L232" s="37" t="s">
        <v>184</v>
      </c>
      <c r="M232" s="35"/>
      <c r="N232" s="35"/>
      <c r="O232" s="44">
        <v>24212.5</v>
      </c>
      <c r="P232" s="44">
        <v>0</v>
      </c>
      <c r="Q232" s="44"/>
      <c r="R232" s="44"/>
      <c r="S232" s="44"/>
      <c r="T232" s="44"/>
      <c r="U232" s="44"/>
      <c r="V232" s="44"/>
      <c r="W232" s="36"/>
      <c r="X232" s="119" t="s">
        <v>439</v>
      </c>
    </row>
    <row r="233" spans="1:23" s="119" customFormat="1" ht="26.25" customHeight="1">
      <c r="A233" s="316"/>
      <c r="B233" s="312"/>
      <c r="C233" s="327"/>
      <c r="D233" s="37" t="s">
        <v>154</v>
      </c>
      <c r="E233" s="37" t="s">
        <v>155</v>
      </c>
      <c r="F233" s="37" t="s">
        <v>432</v>
      </c>
      <c r="G233" s="37" t="s">
        <v>154</v>
      </c>
      <c r="H233" s="37" t="s">
        <v>157</v>
      </c>
      <c r="I233" s="37" t="s">
        <v>169</v>
      </c>
      <c r="J233" s="37" t="s">
        <v>155</v>
      </c>
      <c r="K233" s="37" t="s">
        <v>390</v>
      </c>
      <c r="L233" s="37" t="s">
        <v>184</v>
      </c>
      <c r="M233" s="35"/>
      <c r="N233" s="35"/>
      <c r="O233" s="44">
        <v>9825</v>
      </c>
      <c r="P233" s="44">
        <v>0</v>
      </c>
      <c r="Q233" s="44"/>
      <c r="R233" s="44"/>
      <c r="S233" s="44"/>
      <c r="T233" s="44"/>
      <c r="U233" s="44"/>
      <c r="V233" s="44"/>
      <c r="W233" s="36"/>
    </row>
    <row r="234" spans="1:23" s="119" customFormat="1" ht="26.25" customHeight="1">
      <c r="A234" s="316"/>
      <c r="B234" s="312"/>
      <c r="C234" s="327"/>
      <c r="D234" s="37" t="s">
        <v>154</v>
      </c>
      <c r="E234" s="37" t="s">
        <v>155</v>
      </c>
      <c r="F234" s="37" t="s">
        <v>432</v>
      </c>
      <c r="G234" s="37" t="s">
        <v>182</v>
      </c>
      <c r="H234" s="37" t="s">
        <v>157</v>
      </c>
      <c r="I234" s="37" t="s">
        <v>169</v>
      </c>
      <c r="J234" s="37" t="s">
        <v>155</v>
      </c>
      <c r="K234" s="37" t="s">
        <v>412</v>
      </c>
      <c r="L234" s="37" t="s">
        <v>413</v>
      </c>
      <c r="M234" s="35"/>
      <c r="N234" s="35"/>
      <c r="O234" s="44">
        <v>0</v>
      </c>
      <c r="P234" s="44">
        <v>6685</v>
      </c>
      <c r="Q234" s="44">
        <v>6685</v>
      </c>
      <c r="R234" s="44">
        <v>6685</v>
      </c>
      <c r="S234" s="44">
        <v>6685</v>
      </c>
      <c r="T234" s="44">
        <v>6685</v>
      </c>
      <c r="U234" s="44">
        <v>6685</v>
      </c>
      <c r="V234" s="44">
        <v>6685</v>
      </c>
      <c r="W234" s="36"/>
    </row>
    <row r="235" spans="1:23" s="119" customFormat="1" ht="36" customHeight="1">
      <c r="A235" s="315" t="s">
        <v>179</v>
      </c>
      <c r="B235" s="288" t="s">
        <v>589</v>
      </c>
      <c r="C235" s="313" t="s">
        <v>9</v>
      </c>
      <c r="D235" s="37" t="s">
        <v>154</v>
      </c>
      <c r="E235" s="37" t="s">
        <v>155</v>
      </c>
      <c r="F235" s="37" t="s">
        <v>432</v>
      </c>
      <c r="G235" s="37" t="s">
        <v>169</v>
      </c>
      <c r="H235" s="37" t="s">
        <v>157</v>
      </c>
      <c r="I235" s="37" t="s">
        <v>169</v>
      </c>
      <c r="J235" s="37" t="s">
        <v>155</v>
      </c>
      <c r="K235" s="37"/>
      <c r="L235" s="37"/>
      <c r="M235" s="35"/>
      <c r="N235" s="35"/>
      <c r="O235" s="44">
        <f>O236</f>
        <v>0</v>
      </c>
      <c r="P235" s="44">
        <f aca="true" t="shared" si="44" ref="P235:V235">P236</f>
        <v>5286.5</v>
      </c>
      <c r="Q235" s="44">
        <f t="shared" si="44"/>
        <v>5286.5</v>
      </c>
      <c r="R235" s="44">
        <f t="shared" si="44"/>
        <v>5286.5</v>
      </c>
      <c r="S235" s="44">
        <f t="shared" si="44"/>
        <v>5286.5</v>
      </c>
      <c r="T235" s="44">
        <f t="shared" si="44"/>
        <v>5286.5</v>
      </c>
      <c r="U235" s="44">
        <f t="shared" si="44"/>
        <v>5286.5</v>
      </c>
      <c r="V235" s="44">
        <f t="shared" si="44"/>
        <v>5286.5</v>
      </c>
      <c r="W235" s="36"/>
    </row>
    <row r="236" spans="1:23" s="119" customFormat="1" ht="33.75" customHeight="1">
      <c r="A236" s="316"/>
      <c r="B236" s="312"/>
      <c r="C236" s="321"/>
      <c r="D236" s="37" t="s">
        <v>154</v>
      </c>
      <c r="E236" s="37" t="s">
        <v>155</v>
      </c>
      <c r="F236" s="37" t="s">
        <v>432</v>
      </c>
      <c r="G236" s="37" t="s">
        <v>158</v>
      </c>
      <c r="H236" s="37" t="s">
        <v>157</v>
      </c>
      <c r="I236" s="37" t="s">
        <v>169</v>
      </c>
      <c r="J236" s="37" t="s">
        <v>155</v>
      </c>
      <c r="K236" s="37" t="s">
        <v>414</v>
      </c>
      <c r="L236" s="37" t="s">
        <v>413</v>
      </c>
      <c r="M236" s="35"/>
      <c r="N236" s="35"/>
      <c r="O236" s="44">
        <v>0</v>
      </c>
      <c r="P236" s="44">
        <v>5286.5</v>
      </c>
      <c r="Q236" s="44">
        <v>5286.5</v>
      </c>
      <c r="R236" s="44">
        <v>5286.5</v>
      </c>
      <c r="S236" s="44">
        <v>5286.5</v>
      </c>
      <c r="T236" s="44">
        <v>5286.5</v>
      </c>
      <c r="U236" s="44">
        <v>5286.5</v>
      </c>
      <c r="V236" s="44">
        <v>5286.5</v>
      </c>
      <c r="W236" s="36"/>
    </row>
    <row r="237" spans="1:23" s="119" customFormat="1" ht="67.5" customHeight="1">
      <c r="A237" s="315" t="s">
        <v>179</v>
      </c>
      <c r="B237" s="288" t="s">
        <v>491</v>
      </c>
      <c r="C237" s="313" t="s">
        <v>9</v>
      </c>
      <c r="D237" s="37" t="s">
        <v>154</v>
      </c>
      <c r="E237" s="37" t="s">
        <v>155</v>
      </c>
      <c r="F237" s="37" t="s">
        <v>433</v>
      </c>
      <c r="G237" s="37"/>
      <c r="H237" s="37"/>
      <c r="I237" s="37"/>
      <c r="J237" s="37"/>
      <c r="K237" s="37"/>
      <c r="L237" s="37"/>
      <c r="M237" s="35"/>
      <c r="N237" s="35"/>
      <c r="O237" s="44">
        <f>SUM(O238:O240)</f>
        <v>344885.9</v>
      </c>
      <c r="P237" s="44">
        <f aca="true" t="shared" si="45" ref="P237:V237">SUM(P238:P240)</f>
        <v>36306.2</v>
      </c>
      <c r="Q237" s="44">
        <f t="shared" si="45"/>
        <v>21691</v>
      </c>
      <c r="R237" s="44">
        <f t="shared" si="45"/>
        <v>31332</v>
      </c>
      <c r="S237" s="44">
        <f t="shared" si="45"/>
        <v>31332</v>
      </c>
      <c r="T237" s="44">
        <f t="shared" si="45"/>
        <v>31332</v>
      </c>
      <c r="U237" s="44">
        <f t="shared" si="45"/>
        <v>31332</v>
      </c>
      <c r="V237" s="44">
        <f t="shared" si="45"/>
        <v>31332</v>
      </c>
      <c r="W237" s="36"/>
    </row>
    <row r="238" spans="1:23" s="119" customFormat="1" ht="24.75" customHeight="1">
      <c r="A238" s="316"/>
      <c r="B238" s="312"/>
      <c r="C238" s="321"/>
      <c r="D238" s="37" t="s">
        <v>154</v>
      </c>
      <c r="E238" s="37" t="s">
        <v>155</v>
      </c>
      <c r="F238" s="37" t="s">
        <v>433</v>
      </c>
      <c r="G238" s="37" t="s">
        <v>155</v>
      </c>
      <c r="H238" s="37" t="s">
        <v>157</v>
      </c>
      <c r="I238" s="37" t="s">
        <v>169</v>
      </c>
      <c r="J238" s="37" t="s">
        <v>155</v>
      </c>
      <c r="K238" s="37" t="s">
        <v>389</v>
      </c>
      <c r="L238" s="37" t="s">
        <v>184</v>
      </c>
      <c r="M238" s="35"/>
      <c r="N238" s="35"/>
      <c r="O238" s="44">
        <v>310185.9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36"/>
    </row>
    <row r="239" spans="1:23" s="119" customFormat="1" ht="24.75" customHeight="1">
      <c r="A239" s="316"/>
      <c r="B239" s="312"/>
      <c r="C239" s="321"/>
      <c r="D239" s="37" t="s">
        <v>154</v>
      </c>
      <c r="E239" s="37" t="s">
        <v>155</v>
      </c>
      <c r="F239" s="37" t="s">
        <v>433</v>
      </c>
      <c r="G239" s="37" t="s">
        <v>154</v>
      </c>
      <c r="H239" s="37" t="s">
        <v>157</v>
      </c>
      <c r="I239" s="37" t="s">
        <v>169</v>
      </c>
      <c r="J239" s="37" t="s">
        <v>155</v>
      </c>
      <c r="K239" s="37" t="s">
        <v>391</v>
      </c>
      <c r="L239" s="37" t="s">
        <v>184</v>
      </c>
      <c r="M239" s="35"/>
      <c r="N239" s="35"/>
      <c r="O239" s="44">
        <v>34700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36"/>
    </row>
    <row r="240" spans="1:23" s="119" customFormat="1" ht="24.75" customHeight="1">
      <c r="A240" s="317"/>
      <c r="B240" s="289"/>
      <c r="C240" s="314"/>
      <c r="D240" s="37" t="s">
        <v>154</v>
      </c>
      <c r="E240" s="37" t="s">
        <v>155</v>
      </c>
      <c r="F240" s="37" t="s">
        <v>433</v>
      </c>
      <c r="G240" s="37" t="s">
        <v>182</v>
      </c>
      <c r="H240" s="37" t="s">
        <v>157</v>
      </c>
      <c r="I240" s="37" t="s">
        <v>169</v>
      </c>
      <c r="J240" s="37" t="s">
        <v>155</v>
      </c>
      <c r="K240" s="37" t="s">
        <v>421</v>
      </c>
      <c r="L240" s="37" t="s">
        <v>184</v>
      </c>
      <c r="M240" s="35"/>
      <c r="N240" s="35"/>
      <c r="O240" s="44">
        <v>0</v>
      </c>
      <c r="P240" s="44">
        <v>36306.2</v>
      </c>
      <c r="Q240" s="44">
        <v>21691</v>
      </c>
      <c r="R240" s="44">
        <v>31332</v>
      </c>
      <c r="S240" s="44">
        <v>31332</v>
      </c>
      <c r="T240" s="44">
        <v>31332</v>
      </c>
      <c r="U240" s="44">
        <v>31332</v>
      </c>
      <c r="V240" s="44">
        <v>31332</v>
      </c>
      <c r="W240" s="36"/>
    </row>
    <row r="241" spans="1:23" s="119" customFormat="1" ht="41.25" customHeight="1">
      <c r="A241" s="315" t="s">
        <v>179</v>
      </c>
      <c r="B241" s="288" t="s">
        <v>493</v>
      </c>
      <c r="C241" s="313" t="s">
        <v>9</v>
      </c>
      <c r="D241" s="37" t="s">
        <v>154</v>
      </c>
      <c r="E241" s="37" t="s">
        <v>155</v>
      </c>
      <c r="F241" s="37" t="s">
        <v>434</v>
      </c>
      <c r="G241" s="37"/>
      <c r="H241" s="37"/>
      <c r="I241" s="37"/>
      <c r="J241" s="37"/>
      <c r="K241" s="37"/>
      <c r="L241" s="37"/>
      <c r="M241" s="35"/>
      <c r="N241" s="35"/>
      <c r="O241" s="44"/>
      <c r="P241" s="44"/>
      <c r="Q241" s="44"/>
      <c r="R241" s="44"/>
      <c r="S241" s="44"/>
      <c r="T241" s="44"/>
      <c r="U241" s="44"/>
      <c r="V241" s="44"/>
      <c r="W241" s="36"/>
    </row>
    <row r="242" spans="1:23" s="119" customFormat="1" ht="45.75" customHeight="1">
      <c r="A242" s="317"/>
      <c r="B242" s="289"/>
      <c r="C242" s="314"/>
      <c r="D242" s="37" t="s">
        <v>154</v>
      </c>
      <c r="E242" s="37" t="s">
        <v>155</v>
      </c>
      <c r="F242" s="37" t="s">
        <v>434</v>
      </c>
      <c r="G242" s="37"/>
      <c r="H242" s="37"/>
      <c r="I242" s="37"/>
      <c r="J242" s="37"/>
      <c r="K242" s="37"/>
      <c r="L242" s="37"/>
      <c r="M242" s="35"/>
      <c r="N242" s="35"/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36"/>
    </row>
    <row r="243" spans="1:23" s="119" customFormat="1" ht="54" customHeight="1">
      <c r="A243" s="315" t="s">
        <v>179</v>
      </c>
      <c r="B243" s="288" t="s">
        <v>561</v>
      </c>
      <c r="C243" s="313" t="s">
        <v>590</v>
      </c>
      <c r="D243" s="37" t="s">
        <v>154</v>
      </c>
      <c r="E243" s="37" t="s">
        <v>155</v>
      </c>
      <c r="F243" s="37" t="s">
        <v>435</v>
      </c>
      <c r="G243" s="37"/>
      <c r="H243" s="37"/>
      <c r="I243" s="37"/>
      <c r="J243" s="37"/>
      <c r="K243" s="37"/>
      <c r="L243" s="37"/>
      <c r="M243" s="35"/>
      <c r="N243" s="35"/>
      <c r="O243" s="44"/>
      <c r="P243" s="44"/>
      <c r="Q243" s="44"/>
      <c r="R243" s="44"/>
      <c r="S243" s="44"/>
      <c r="T243" s="44"/>
      <c r="U243" s="44"/>
      <c r="V243" s="44"/>
      <c r="W243" s="36"/>
    </row>
    <row r="244" spans="1:23" s="119" customFormat="1" ht="52.5" customHeight="1">
      <c r="A244" s="317"/>
      <c r="B244" s="289"/>
      <c r="C244" s="314"/>
      <c r="D244" s="37" t="s">
        <v>154</v>
      </c>
      <c r="E244" s="37" t="s">
        <v>155</v>
      </c>
      <c r="F244" s="37" t="s">
        <v>435</v>
      </c>
      <c r="G244" s="37" t="s">
        <v>155</v>
      </c>
      <c r="H244" s="37" t="s">
        <v>598</v>
      </c>
      <c r="I244" s="37"/>
      <c r="J244" s="37"/>
      <c r="K244" s="37"/>
      <c r="L244" s="37"/>
      <c r="M244" s="35"/>
      <c r="N244" s="35"/>
      <c r="O244" s="44"/>
      <c r="P244" s="44"/>
      <c r="Q244" s="44"/>
      <c r="R244" s="44"/>
      <c r="S244" s="44"/>
      <c r="T244" s="44"/>
      <c r="U244" s="44"/>
      <c r="V244" s="44"/>
      <c r="W244" s="36"/>
    </row>
    <row r="245" spans="1:23" s="139" customFormat="1" ht="78" customHeight="1">
      <c r="A245" s="315" t="s">
        <v>179</v>
      </c>
      <c r="B245" s="288" t="s">
        <v>601</v>
      </c>
      <c r="C245" s="338" t="s">
        <v>106</v>
      </c>
      <c r="D245" s="37" t="s">
        <v>154</v>
      </c>
      <c r="E245" s="37" t="s">
        <v>155</v>
      </c>
      <c r="F245" s="37" t="s">
        <v>435</v>
      </c>
      <c r="G245" s="37"/>
      <c r="H245" s="37"/>
      <c r="I245" s="37"/>
      <c r="J245" s="37"/>
      <c r="K245" s="37"/>
      <c r="L245" s="37"/>
      <c r="M245" s="35"/>
      <c r="N245" s="35"/>
      <c r="O245" s="44">
        <f>O246</f>
        <v>0</v>
      </c>
      <c r="P245" s="44">
        <f>P246</f>
        <v>9291</v>
      </c>
      <c r="Q245" s="44">
        <f aca="true" t="shared" si="46" ref="Q245:V245">SUM(Q246:Q246)</f>
        <v>0</v>
      </c>
      <c r="R245" s="44">
        <f t="shared" si="46"/>
        <v>0</v>
      </c>
      <c r="S245" s="44">
        <f t="shared" si="46"/>
        <v>0</v>
      </c>
      <c r="T245" s="44">
        <f t="shared" si="46"/>
        <v>0</v>
      </c>
      <c r="U245" s="44">
        <f t="shared" si="46"/>
        <v>0</v>
      </c>
      <c r="V245" s="44">
        <f t="shared" si="46"/>
        <v>0</v>
      </c>
      <c r="W245" s="36"/>
    </row>
    <row r="246" spans="1:23" s="139" customFormat="1" ht="65.25" customHeight="1">
      <c r="A246" s="316"/>
      <c r="B246" s="312"/>
      <c r="C246" s="338"/>
      <c r="D246" s="37" t="s">
        <v>154</v>
      </c>
      <c r="E246" s="37" t="s">
        <v>155</v>
      </c>
      <c r="F246" s="37" t="s">
        <v>435</v>
      </c>
      <c r="G246" s="37" t="s">
        <v>155</v>
      </c>
      <c r="H246" s="37" t="s">
        <v>188</v>
      </c>
      <c r="I246" s="37" t="s">
        <v>182</v>
      </c>
      <c r="J246" s="37" t="s">
        <v>190</v>
      </c>
      <c r="K246" s="37" t="s">
        <v>600</v>
      </c>
      <c r="L246" s="37" t="s">
        <v>96</v>
      </c>
      <c r="M246" s="35"/>
      <c r="N246" s="35"/>
      <c r="O246" s="44">
        <v>0</v>
      </c>
      <c r="P246" s="44">
        <v>9291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36"/>
    </row>
    <row r="247" spans="1:23" ht="23.25" customHeight="1">
      <c r="A247" s="322" t="s">
        <v>193</v>
      </c>
      <c r="B247" s="325" t="s">
        <v>194</v>
      </c>
      <c r="C247" s="51" t="s">
        <v>135</v>
      </c>
      <c r="D247" s="34"/>
      <c r="E247" s="34"/>
      <c r="F247" s="34"/>
      <c r="G247" s="34"/>
      <c r="H247" s="34"/>
      <c r="I247" s="34"/>
      <c r="J247" s="34"/>
      <c r="K247" s="34"/>
      <c r="L247" s="34"/>
      <c r="M247" s="35" t="e">
        <f>SUM(M248:M268)</f>
        <v>#REF!</v>
      </c>
      <c r="N247" s="35" t="e">
        <f>SUM(N248:N268)</f>
        <v>#REF!</v>
      </c>
      <c r="O247" s="44">
        <f>SUM(O248:O268)</f>
        <v>2096536.9</v>
      </c>
      <c r="P247" s="44">
        <f aca="true" t="shared" si="47" ref="P247:V247">SUM(P248:P268)</f>
        <v>706478.5</v>
      </c>
      <c r="Q247" s="44">
        <f t="shared" si="47"/>
        <v>711486.3</v>
      </c>
      <c r="R247" s="44">
        <f t="shared" si="47"/>
        <v>712888.3</v>
      </c>
      <c r="S247" s="44">
        <f t="shared" si="47"/>
        <v>712888.3</v>
      </c>
      <c r="T247" s="44">
        <f t="shared" si="47"/>
        <v>712888.3</v>
      </c>
      <c r="U247" s="44">
        <f t="shared" si="47"/>
        <v>712888.3</v>
      </c>
      <c r="V247" s="44">
        <f t="shared" si="47"/>
        <v>712888.3</v>
      </c>
      <c r="W247" s="36"/>
    </row>
    <row r="248" spans="1:23" ht="65.25" customHeight="1">
      <c r="A248" s="322"/>
      <c r="B248" s="325"/>
      <c r="C248" s="14" t="s">
        <v>9</v>
      </c>
      <c r="D248" s="34"/>
      <c r="E248" s="34"/>
      <c r="F248" s="34"/>
      <c r="G248" s="34"/>
      <c r="H248" s="34"/>
      <c r="I248" s="34"/>
      <c r="J248" s="34"/>
      <c r="K248" s="34"/>
      <c r="L248" s="34"/>
      <c r="M248" s="35">
        <f>M269+M277+M280+M300+M290</f>
        <v>3021872.48</v>
      </c>
      <c r="N248" s="35">
        <f>N269+N277+N280+N300+N290</f>
        <v>827301.87</v>
      </c>
      <c r="O248" s="44">
        <f>O269+O277+O280+O290+O297</f>
        <v>2090982.2999999998</v>
      </c>
      <c r="P248" s="44">
        <f aca="true" t="shared" si="48" ref="P248:V248">P269+P280+P290+P297</f>
        <v>702478.3</v>
      </c>
      <c r="Q248" s="44">
        <f t="shared" si="48"/>
        <v>707697.3</v>
      </c>
      <c r="R248" s="44">
        <f t="shared" si="48"/>
        <v>709099.3</v>
      </c>
      <c r="S248" s="44">
        <f t="shared" si="48"/>
        <v>709099.3</v>
      </c>
      <c r="T248" s="44">
        <f t="shared" si="48"/>
        <v>709099.3</v>
      </c>
      <c r="U248" s="44">
        <f t="shared" si="48"/>
        <v>709099.3</v>
      </c>
      <c r="V248" s="44">
        <f t="shared" si="48"/>
        <v>709099.3</v>
      </c>
      <c r="W248" s="36"/>
    </row>
    <row r="249" spans="1:23" ht="47.25">
      <c r="A249" s="322"/>
      <c r="B249" s="325"/>
      <c r="C249" s="14" t="s">
        <v>178</v>
      </c>
      <c r="D249" s="34"/>
      <c r="E249" s="34"/>
      <c r="F249" s="34"/>
      <c r="G249" s="34"/>
      <c r="H249" s="34"/>
      <c r="I249" s="34"/>
      <c r="J249" s="34"/>
      <c r="K249" s="34"/>
      <c r="L249" s="34"/>
      <c r="M249" s="35" t="e">
        <f>#REF!</f>
        <v>#REF!</v>
      </c>
      <c r="N249" s="35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36"/>
    </row>
    <row r="250" spans="1:23" ht="116.25" customHeight="1">
      <c r="A250" s="322"/>
      <c r="B250" s="325"/>
      <c r="C250" s="14" t="s">
        <v>136</v>
      </c>
      <c r="D250" s="34"/>
      <c r="E250" s="34"/>
      <c r="F250" s="34"/>
      <c r="G250" s="34"/>
      <c r="H250" s="34"/>
      <c r="I250" s="34"/>
      <c r="J250" s="34"/>
      <c r="K250" s="34"/>
      <c r="L250" s="34"/>
      <c r="M250" s="35" t="e">
        <f>#REF!</f>
        <v>#REF!</v>
      </c>
      <c r="N250" s="35">
        <v>0</v>
      </c>
      <c r="O250" s="44">
        <f>O313</f>
        <v>129.1</v>
      </c>
      <c r="P250" s="44">
        <f aca="true" t="shared" si="49" ref="P250:V250">P313</f>
        <v>129</v>
      </c>
      <c r="Q250" s="44">
        <f t="shared" si="49"/>
        <v>0</v>
      </c>
      <c r="R250" s="44">
        <f t="shared" si="49"/>
        <v>0</v>
      </c>
      <c r="S250" s="44">
        <f t="shared" si="49"/>
        <v>0</v>
      </c>
      <c r="T250" s="44">
        <f t="shared" si="49"/>
        <v>0</v>
      </c>
      <c r="U250" s="44">
        <f t="shared" si="49"/>
        <v>0</v>
      </c>
      <c r="V250" s="44">
        <f t="shared" si="49"/>
        <v>0</v>
      </c>
      <c r="W250" s="36"/>
    </row>
    <row r="251" spans="1:23" ht="47.25">
      <c r="A251" s="322"/>
      <c r="B251" s="325"/>
      <c r="C251" s="14" t="s">
        <v>137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35" t="e">
        <f>#REF!</f>
        <v>#REF!</v>
      </c>
      <c r="N251" s="35" t="e">
        <f>#REF!</f>
        <v>#REF!</v>
      </c>
      <c r="O251" s="44"/>
      <c r="P251" s="44"/>
      <c r="Q251" s="44"/>
      <c r="R251" s="44"/>
      <c r="S251" s="44"/>
      <c r="T251" s="44"/>
      <c r="U251" s="44"/>
      <c r="V251" s="44"/>
      <c r="W251" s="36"/>
    </row>
    <row r="252" spans="1:23" ht="47.25">
      <c r="A252" s="322"/>
      <c r="B252" s="325"/>
      <c r="C252" s="14" t="s">
        <v>138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 t="e">
        <f>#REF!</f>
        <v>#REF!</v>
      </c>
      <c r="N252" s="35" t="e">
        <f>#REF!</f>
        <v>#REF!</v>
      </c>
      <c r="O252" s="44"/>
      <c r="P252" s="44"/>
      <c r="Q252" s="44"/>
      <c r="R252" s="44"/>
      <c r="S252" s="44"/>
      <c r="T252" s="44"/>
      <c r="U252" s="44"/>
      <c r="V252" s="44"/>
      <c r="W252" s="36"/>
    </row>
    <row r="253" spans="1:23" ht="47.25">
      <c r="A253" s="322"/>
      <c r="B253" s="325"/>
      <c r="C253" s="14" t="s">
        <v>139</v>
      </c>
      <c r="D253" s="34"/>
      <c r="E253" s="34"/>
      <c r="F253" s="34"/>
      <c r="G253" s="34"/>
      <c r="H253" s="34"/>
      <c r="I253" s="34"/>
      <c r="J253" s="34"/>
      <c r="K253" s="34"/>
      <c r="L253" s="34"/>
      <c r="M253" s="35" t="e">
        <f>#REF!</f>
        <v>#REF!</v>
      </c>
      <c r="N253" s="35" t="e">
        <f>#REF!</f>
        <v>#REF!</v>
      </c>
      <c r="O253" s="44"/>
      <c r="P253" s="44"/>
      <c r="Q253" s="44"/>
      <c r="R253" s="44"/>
      <c r="S253" s="44"/>
      <c r="T253" s="44"/>
      <c r="U253" s="44"/>
      <c r="V253" s="44"/>
      <c r="W253" s="36"/>
    </row>
    <row r="254" spans="1:23" ht="94.5">
      <c r="A254" s="322"/>
      <c r="B254" s="325"/>
      <c r="C254" s="14" t="s">
        <v>140</v>
      </c>
      <c r="D254" s="34"/>
      <c r="E254" s="34"/>
      <c r="F254" s="34"/>
      <c r="G254" s="34"/>
      <c r="H254" s="34"/>
      <c r="I254" s="34"/>
      <c r="J254" s="34"/>
      <c r="K254" s="34"/>
      <c r="L254" s="34"/>
      <c r="M254" s="35" t="e">
        <f>#REF!</f>
        <v>#REF!</v>
      </c>
      <c r="N254" s="35" t="e">
        <f>#REF!</f>
        <v>#REF!</v>
      </c>
      <c r="O254" s="44"/>
      <c r="P254" s="44"/>
      <c r="Q254" s="44"/>
      <c r="R254" s="44"/>
      <c r="S254" s="44"/>
      <c r="T254" s="44"/>
      <c r="U254" s="44"/>
      <c r="V254" s="44"/>
      <c r="W254" s="36"/>
    </row>
    <row r="255" spans="1:23" ht="31.5">
      <c r="A255" s="322"/>
      <c r="B255" s="325"/>
      <c r="C255" s="14" t="s">
        <v>60</v>
      </c>
      <c r="D255" s="34"/>
      <c r="E255" s="34"/>
      <c r="F255" s="34"/>
      <c r="G255" s="34"/>
      <c r="H255" s="34"/>
      <c r="I255" s="34"/>
      <c r="J255" s="34"/>
      <c r="K255" s="34"/>
      <c r="L255" s="34"/>
      <c r="M255" s="35" t="e">
        <f>#REF!</f>
        <v>#REF!</v>
      </c>
      <c r="N255" s="35" t="e">
        <f>#REF!</f>
        <v>#REF!</v>
      </c>
      <c r="O255" s="44"/>
      <c r="P255" s="44"/>
      <c r="Q255" s="44"/>
      <c r="R255" s="44"/>
      <c r="S255" s="44"/>
      <c r="T255" s="44"/>
      <c r="U255" s="44"/>
      <c r="V255" s="44"/>
      <c r="W255" s="36"/>
    </row>
    <row r="256" spans="1:23" ht="63">
      <c r="A256" s="322"/>
      <c r="B256" s="325"/>
      <c r="C256" s="14" t="s">
        <v>141</v>
      </c>
      <c r="D256" s="34"/>
      <c r="E256" s="34"/>
      <c r="F256" s="34"/>
      <c r="G256" s="34"/>
      <c r="H256" s="34"/>
      <c r="I256" s="34"/>
      <c r="J256" s="34"/>
      <c r="K256" s="34"/>
      <c r="L256" s="34"/>
      <c r="M256" s="35" t="e">
        <f>#REF!</f>
        <v>#REF!</v>
      </c>
      <c r="N256" s="35" t="e">
        <f>#REF!</f>
        <v>#REF!</v>
      </c>
      <c r="O256" s="44"/>
      <c r="P256" s="44"/>
      <c r="Q256" s="44"/>
      <c r="R256" s="44"/>
      <c r="S256" s="44"/>
      <c r="T256" s="44"/>
      <c r="U256" s="44"/>
      <c r="V256" s="44"/>
      <c r="W256" s="36"/>
    </row>
    <row r="257" spans="1:23" ht="78.75">
      <c r="A257" s="322"/>
      <c r="B257" s="325"/>
      <c r="C257" s="14" t="s">
        <v>150</v>
      </c>
      <c r="D257" s="34"/>
      <c r="E257" s="34"/>
      <c r="F257" s="34"/>
      <c r="G257" s="34"/>
      <c r="H257" s="34"/>
      <c r="I257" s="34"/>
      <c r="J257" s="34"/>
      <c r="K257" s="34"/>
      <c r="L257" s="34"/>
      <c r="M257" s="35" t="e">
        <f>#REF!</f>
        <v>#REF!</v>
      </c>
      <c r="N257" s="35" t="e">
        <f>#REF!</f>
        <v>#REF!</v>
      </c>
      <c r="O257" s="44"/>
      <c r="P257" s="44"/>
      <c r="Q257" s="44"/>
      <c r="R257" s="44"/>
      <c r="S257" s="44"/>
      <c r="T257" s="44"/>
      <c r="U257" s="44"/>
      <c r="V257" s="44"/>
      <c r="W257" s="36"/>
    </row>
    <row r="258" spans="1:23" ht="47.25">
      <c r="A258" s="322"/>
      <c r="B258" s="325"/>
      <c r="C258" s="14" t="s">
        <v>114</v>
      </c>
      <c r="D258" s="34"/>
      <c r="E258" s="34"/>
      <c r="F258" s="34"/>
      <c r="G258" s="34"/>
      <c r="H258" s="34"/>
      <c r="I258" s="34"/>
      <c r="J258" s="34"/>
      <c r="K258" s="34"/>
      <c r="L258" s="34"/>
      <c r="M258" s="35" t="e">
        <f>#REF!+#REF!</f>
        <v>#REF!</v>
      </c>
      <c r="N258" s="35" t="e">
        <f>#REF!+#REF!</f>
        <v>#REF!</v>
      </c>
      <c r="O258" s="44">
        <f>O309+O312</f>
        <v>1811.5</v>
      </c>
      <c r="P258" s="44">
        <f aca="true" t="shared" si="50" ref="P258:V258">P309+P312</f>
        <v>0</v>
      </c>
      <c r="Q258" s="44">
        <f t="shared" si="50"/>
        <v>0</v>
      </c>
      <c r="R258" s="44">
        <f t="shared" si="50"/>
        <v>0</v>
      </c>
      <c r="S258" s="44">
        <f t="shared" si="50"/>
        <v>0</v>
      </c>
      <c r="T258" s="44">
        <f t="shared" si="50"/>
        <v>0</v>
      </c>
      <c r="U258" s="44">
        <f t="shared" si="50"/>
        <v>0</v>
      </c>
      <c r="V258" s="44">
        <f t="shared" si="50"/>
        <v>0</v>
      </c>
      <c r="W258" s="36"/>
    </row>
    <row r="259" spans="1:23" ht="63">
      <c r="A259" s="322"/>
      <c r="B259" s="325"/>
      <c r="C259" s="14" t="s">
        <v>142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35" t="e">
        <f>#REF!</f>
        <v>#REF!</v>
      </c>
      <c r="N259" s="35" t="e">
        <f>#REF!</f>
        <v>#REF!</v>
      </c>
      <c r="O259" s="44"/>
      <c r="P259" s="44"/>
      <c r="Q259" s="44"/>
      <c r="R259" s="44"/>
      <c r="S259" s="44"/>
      <c r="T259" s="44"/>
      <c r="U259" s="44"/>
      <c r="V259" s="44"/>
      <c r="W259" s="36"/>
    </row>
    <row r="260" spans="1:23" ht="47.25">
      <c r="A260" s="322"/>
      <c r="B260" s="325"/>
      <c r="C260" s="14" t="s">
        <v>143</v>
      </c>
      <c r="D260" s="34"/>
      <c r="E260" s="34"/>
      <c r="F260" s="34"/>
      <c r="G260" s="34"/>
      <c r="H260" s="34"/>
      <c r="I260" s="34"/>
      <c r="J260" s="34"/>
      <c r="K260" s="34"/>
      <c r="L260" s="34"/>
      <c r="M260" s="35" t="e">
        <f>#REF!</f>
        <v>#REF!</v>
      </c>
      <c r="N260" s="35" t="e">
        <f>#REF!</f>
        <v>#REF!</v>
      </c>
      <c r="O260" s="44"/>
      <c r="P260" s="44"/>
      <c r="Q260" s="44"/>
      <c r="R260" s="44"/>
      <c r="S260" s="44"/>
      <c r="T260" s="44"/>
      <c r="U260" s="44"/>
      <c r="V260" s="44"/>
      <c r="W260" s="36"/>
    </row>
    <row r="261" spans="1:23" ht="47.25">
      <c r="A261" s="322"/>
      <c r="B261" s="325"/>
      <c r="C261" s="14" t="s">
        <v>144</v>
      </c>
      <c r="D261" s="34"/>
      <c r="E261" s="34"/>
      <c r="F261" s="34"/>
      <c r="G261" s="34"/>
      <c r="H261" s="34"/>
      <c r="I261" s="34"/>
      <c r="J261" s="34"/>
      <c r="K261" s="34"/>
      <c r="L261" s="34"/>
      <c r="M261" s="35" t="e">
        <f>#REF!+#REF!</f>
        <v>#REF!</v>
      </c>
      <c r="N261" s="35" t="e">
        <f>#REF!+#REF!</f>
        <v>#REF!</v>
      </c>
      <c r="O261" s="44"/>
      <c r="P261" s="44"/>
      <c r="Q261" s="44"/>
      <c r="R261" s="44"/>
      <c r="S261" s="44"/>
      <c r="T261" s="44"/>
      <c r="U261" s="44"/>
      <c r="V261" s="44"/>
      <c r="W261" s="36"/>
    </row>
    <row r="262" spans="1:23" ht="63">
      <c r="A262" s="322"/>
      <c r="B262" s="325"/>
      <c r="C262" s="14" t="s">
        <v>145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35" t="e">
        <f>#REF!+M305</f>
        <v>#REF!</v>
      </c>
      <c r="N262" s="35" t="e">
        <f>#REF!+N305</f>
        <v>#REF!</v>
      </c>
      <c r="O262" s="44">
        <f>O305+O310</f>
        <v>1114</v>
      </c>
      <c r="P262" s="44">
        <f>P310</f>
        <v>1114</v>
      </c>
      <c r="Q262" s="44">
        <f aca="true" t="shared" si="51" ref="Q262:V262">Q305+Q310</f>
        <v>1114</v>
      </c>
      <c r="R262" s="44">
        <f t="shared" si="51"/>
        <v>1114</v>
      </c>
      <c r="S262" s="44">
        <f t="shared" si="51"/>
        <v>1114</v>
      </c>
      <c r="T262" s="44">
        <f t="shared" si="51"/>
        <v>1114</v>
      </c>
      <c r="U262" s="44">
        <f t="shared" si="51"/>
        <v>1114</v>
      </c>
      <c r="V262" s="44">
        <f t="shared" si="51"/>
        <v>1114</v>
      </c>
      <c r="W262" s="36"/>
    </row>
    <row r="263" spans="1:23" ht="47.25">
      <c r="A263" s="322"/>
      <c r="B263" s="325"/>
      <c r="C263" s="14" t="s">
        <v>146</v>
      </c>
      <c r="D263" s="34"/>
      <c r="E263" s="34"/>
      <c r="F263" s="34"/>
      <c r="G263" s="34"/>
      <c r="H263" s="34"/>
      <c r="I263" s="34"/>
      <c r="J263" s="34"/>
      <c r="K263" s="34"/>
      <c r="L263" s="34"/>
      <c r="M263" s="35" t="e">
        <f>#REF!</f>
        <v>#REF!</v>
      </c>
      <c r="N263" s="35"/>
      <c r="O263" s="44"/>
      <c r="P263" s="44"/>
      <c r="Q263" s="44"/>
      <c r="R263" s="44"/>
      <c r="S263" s="44"/>
      <c r="T263" s="44"/>
      <c r="U263" s="44"/>
      <c r="V263" s="44"/>
      <c r="W263" s="36"/>
    </row>
    <row r="264" spans="1:23" ht="47.25">
      <c r="A264" s="322"/>
      <c r="B264" s="325"/>
      <c r="C264" s="14" t="s">
        <v>147</v>
      </c>
      <c r="D264" s="34"/>
      <c r="E264" s="34"/>
      <c r="F264" s="34"/>
      <c r="G264" s="34"/>
      <c r="H264" s="34"/>
      <c r="I264" s="34"/>
      <c r="J264" s="34"/>
      <c r="K264" s="34"/>
      <c r="L264" s="34"/>
      <c r="M264" s="35" t="e">
        <f>#REF!</f>
        <v>#REF!</v>
      </c>
      <c r="N264" s="35" t="e">
        <f>#REF!</f>
        <v>#REF!</v>
      </c>
      <c r="O264" s="44"/>
      <c r="P264" s="44"/>
      <c r="Q264" s="44"/>
      <c r="R264" s="44"/>
      <c r="S264" s="44"/>
      <c r="T264" s="44"/>
      <c r="U264" s="44"/>
      <c r="V264" s="44"/>
      <c r="W264" s="36"/>
    </row>
    <row r="265" spans="1:23" ht="63">
      <c r="A265" s="322"/>
      <c r="B265" s="325"/>
      <c r="C265" s="14" t="s">
        <v>148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5" t="e">
        <f>#REF!</f>
        <v>#REF!</v>
      </c>
      <c r="N265" s="35" t="e">
        <f>#REF!</f>
        <v>#REF!</v>
      </c>
      <c r="O265" s="44"/>
      <c r="P265" s="44"/>
      <c r="Q265" s="44"/>
      <c r="R265" s="44"/>
      <c r="S265" s="44"/>
      <c r="T265" s="44"/>
      <c r="U265" s="44"/>
      <c r="V265" s="44"/>
      <c r="W265" s="36"/>
    </row>
    <row r="266" spans="1:23" ht="47.25">
      <c r="A266" s="322"/>
      <c r="B266" s="325"/>
      <c r="C266" s="14" t="s">
        <v>149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5" t="e">
        <f>#REF!</f>
        <v>#REF!</v>
      </c>
      <c r="N266" s="35" t="e">
        <f>#REF!</f>
        <v>#REF!</v>
      </c>
      <c r="O266" s="44"/>
      <c r="P266" s="44"/>
      <c r="Q266" s="44"/>
      <c r="R266" s="44"/>
      <c r="S266" s="44"/>
      <c r="T266" s="44"/>
      <c r="U266" s="44"/>
      <c r="V266" s="44"/>
      <c r="W266" s="36"/>
    </row>
    <row r="267" spans="1:23" ht="178.5" customHeight="1">
      <c r="A267" s="322"/>
      <c r="B267" s="325"/>
      <c r="C267" s="14" t="s">
        <v>106</v>
      </c>
      <c r="D267" s="34"/>
      <c r="E267" s="34"/>
      <c r="F267" s="34"/>
      <c r="G267" s="34"/>
      <c r="H267" s="34"/>
      <c r="I267" s="34"/>
      <c r="J267" s="34"/>
      <c r="K267" s="34"/>
      <c r="L267" s="34"/>
      <c r="M267" s="35">
        <f>M292+M309</f>
        <v>257.5</v>
      </c>
      <c r="N267" s="35">
        <f>N292+N309</f>
        <v>0</v>
      </c>
      <c r="O267" s="44">
        <f>O291</f>
        <v>2000</v>
      </c>
      <c r="P267" s="44">
        <f aca="true" t="shared" si="52" ref="P267:V267">P291</f>
        <v>2757.2</v>
      </c>
      <c r="Q267" s="44">
        <f t="shared" si="52"/>
        <v>2675</v>
      </c>
      <c r="R267" s="44">
        <f t="shared" si="52"/>
        <v>2675</v>
      </c>
      <c r="S267" s="44">
        <f t="shared" si="52"/>
        <v>2675</v>
      </c>
      <c r="T267" s="44">
        <f t="shared" si="52"/>
        <v>2675</v>
      </c>
      <c r="U267" s="44">
        <f t="shared" si="52"/>
        <v>2675</v>
      </c>
      <c r="V267" s="44">
        <f t="shared" si="52"/>
        <v>2675</v>
      </c>
      <c r="W267" s="36"/>
    </row>
    <row r="268" spans="1:23" ht="31.5">
      <c r="A268" s="322"/>
      <c r="B268" s="325"/>
      <c r="C268" s="14" t="s">
        <v>151</v>
      </c>
      <c r="D268" s="34"/>
      <c r="E268" s="34"/>
      <c r="F268" s="34"/>
      <c r="G268" s="34"/>
      <c r="H268" s="34"/>
      <c r="I268" s="34"/>
      <c r="J268" s="34"/>
      <c r="K268" s="34"/>
      <c r="L268" s="34"/>
      <c r="M268" s="35" t="e">
        <f>#REF!+M308</f>
        <v>#REF!</v>
      </c>
      <c r="N268" s="35" t="e">
        <f>#REF!+N308</f>
        <v>#REF!</v>
      </c>
      <c r="O268" s="44">
        <f>O308</f>
        <v>500</v>
      </c>
      <c r="P268" s="44">
        <f aca="true" t="shared" si="53" ref="P268:V268">P308</f>
        <v>0</v>
      </c>
      <c r="Q268" s="44">
        <f t="shared" si="53"/>
        <v>0</v>
      </c>
      <c r="R268" s="44">
        <f t="shared" si="53"/>
        <v>0</v>
      </c>
      <c r="S268" s="44">
        <f t="shared" si="53"/>
        <v>0</v>
      </c>
      <c r="T268" s="44">
        <f t="shared" si="53"/>
        <v>0</v>
      </c>
      <c r="U268" s="44">
        <f t="shared" si="53"/>
        <v>0</v>
      </c>
      <c r="V268" s="44">
        <f t="shared" si="53"/>
        <v>0</v>
      </c>
      <c r="W268" s="36"/>
    </row>
    <row r="269" spans="1:23" ht="20.25" customHeight="1">
      <c r="A269" s="315" t="s">
        <v>179</v>
      </c>
      <c r="B269" s="288" t="s">
        <v>550</v>
      </c>
      <c r="C269" s="288" t="s">
        <v>177</v>
      </c>
      <c r="D269" s="37" t="s">
        <v>154</v>
      </c>
      <c r="E269" s="37" t="s">
        <v>154</v>
      </c>
      <c r="F269" s="37" t="s">
        <v>155</v>
      </c>
      <c r="G269" s="37"/>
      <c r="H269" s="37"/>
      <c r="I269" s="37"/>
      <c r="J269" s="37"/>
      <c r="K269" s="37"/>
      <c r="L269" s="37"/>
      <c r="M269" s="35">
        <v>2941173.58</v>
      </c>
      <c r="N269" s="35">
        <v>715754.07</v>
      </c>
      <c r="O269" s="44">
        <f>O270+O271+O272+O273+O279</f>
        <v>1931205.9</v>
      </c>
      <c r="P269" s="44">
        <f>SUM(P274:P276)</f>
        <v>651844</v>
      </c>
      <c r="Q269" s="44">
        <f aca="true" t="shared" si="54" ref="Q269:V269">SUM(Q274:Q276)</f>
        <v>657061.8</v>
      </c>
      <c r="R269" s="44">
        <f t="shared" si="54"/>
        <v>658448.3</v>
      </c>
      <c r="S269" s="44">
        <f t="shared" si="54"/>
        <v>658448.3</v>
      </c>
      <c r="T269" s="44">
        <f t="shared" si="54"/>
        <v>658448.3</v>
      </c>
      <c r="U269" s="44">
        <f t="shared" si="54"/>
        <v>658448.3</v>
      </c>
      <c r="V269" s="44">
        <f t="shared" si="54"/>
        <v>658448.3</v>
      </c>
      <c r="W269" s="36"/>
    </row>
    <row r="270" spans="1:23" ht="18.75">
      <c r="A270" s="316"/>
      <c r="B270" s="312"/>
      <c r="C270" s="312"/>
      <c r="D270" s="37" t="s">
        <v>154</v>
      </c>
      <c r="E270" s="37" t="s">
        <v>154</v>
      </c>
      <c r="F270" s="37" t="s">
        <v>155</v>
      </c>
      <c r="G270" s="37" t="s">
        <v>155</v>
      </c>
      <c r="H270" s="37" t="s">
        <v>157</v>
      </c>
      <c r="I270" s="37" t="s">
        <v>158</v>
      </c>
      <c r="J270" s="37" t="s">
        <v>190</v>
      </c>
      <c r="K270" s="37" t="s">
        <v>86</v>
      </c>
      <c r="L270" s="37" t="s">
        <v>184</v>
      </c>
      <c r="M270" s="35"/>
      <c r="N270" s="35"/>
      <c r="O270" s="44">
        <v>41901</v>
      </c>
      <c r="P270" s="44"/>
      <c r="Q270" s="44"/>
      <c r="R270" s="44"/>
      <c r="S270" s="44"/>
      <c r="T270" s="44"/>
      <c r="U270" s="44"/>
      <c r="V270" s="44"/>
      <c r="W270" s="36"/>
    </row>
    <row r="271" spans="1:23" ht="18.75">
      <c r="A271" s="316"/>
      <c r="B271" s="312"/>
      <c r="C271" s="312"/>
      <c r="D271" s="37" t="s">
        <v>154</v>
      </c>
      <c r="E271" s="37" t="s">
        <v>154</v>
      </c>
      <c r="F271" s="37" t="s">
        <v>155</v>
      </c>
      <c r="G271" s="37" t="s">
        <v>154</v>
      </c>
      <c r="H271" s="37" t="s">
        <v>157</v>
      </c>
      <c r="I271" s="37" t="s">
        <v>158</v>
      </c>
      <c r="J271" s="37" t="s">
        <v>190</v>
      </c>
      <c r="K271" s="37" t="s">
        <v>86</v>
      </c>
      <c r="L271" s="37" t="s">
        <v>76</v>
      </c>
      <c r="M271" s="35"/>
      <c r="N271" s="35"/>
      <c r="O271" s="44">
        <v>13099</v>
      </c>
      <c r="P271" s="44"/>
      <c r="Q271" s="44"/>
      <c r="R271" s="44"/>
      <c r="S271" s="44"/>
      <c r="T271" s="44"/>
      <c r="U271" s="44"/>
      <c r="V271" s="44"/>
      <c r="W271" s="36"/>
    </row>
    <row r="272" spans="1:23" ht="18.75">
      <c r="A272" s="316"/>
      <c r="B272" s="312"/>
      <c r="C272" s="312"/>
      <c r="D272" s="37" t="s">
        <v>154</v>
      </c>
      <c r="E272" s="37" t="s">
        <v>154</v>
      </c>
      <c r="F272" s="37" t="s">
        <v>155</v>
      </c>
      <c r="G272" s="37" t="s">
        <v>182</v>
      </c>
      <c r="H272" s="37" t="s">
        <v>157</v>
      </c>
      <c r="I272" s="37" t="s">
        <v>158</v>
      </c>
      <c r="J272" s="37" t="s">
        <v>190</v>
      </c>
      <c r="K272" s="37" t="s">
        <v>86</v>
      </c>
      <c r="L272" s="37" t="s">
        <v>87</v>
      </c>
      <c r="M272" s="35"/>
      <c r="N272" s="35"/>
      <c r="O272" s="44">
        <v>415855</v>
      </c>
      <c r="P272" s="44"/>
      <c r="Q272" s="44"/>
      <c r="R272" s="44"/>
      <c r="S272" s="44"/>
      <c r="T272" s="44"/>
      <c r="U272" s="44"/>
      <c r="V272" s="44"/>
      <c r="W272" s="36"/>
    </row>
    <row r="273" spans="1:23" ht="18" customHeight="1">
      <c r="A273" s="316"/>
      <c r="B273" s="312"/>
      <c r="C273" s="312"/>
      <c r="D273" s="37" t="s">
        <v>154</v>
      </c>
      <c r="E273" s="37" t="s">
        <v>154</v>
      </c>
      <c r="F273" s="37" t="s">
        <v>155</v>
      </c>
      <c r="G273" s="37" t="s">
        <v>158</v>
      </c>
      <c r="H273" s="37" t="s">
        <v>157</v>
      </c>
      <c r="I273" s="37" t="s">
        <v>158</v>
      </c>
      <c r="J273" s="37" t="s">
        <v>190</v>
      </c>
      <c r="K273" s="37" t="s">
        <v>86</v>
      </c>
      <c r="L273" s="37" t="s">
        <v>88</v>
      </c>
      <c r="M273" s="35"/>
      <c r="N273" s="35"/>
      <c r="O273" s="44">
        <f>188015.9+1272335</f>
        <v>1460350.9</v>
      </c>
      <c r="P273" s="44"/>
      <c r="Q273" s="44"/>
      <c r="R273" s="44"/>
      <c r="S273" s="44"/>
      <c r="T273" s="44"/>
      <c r="U273" s="44"/>
      <c r="V273" s="44"/>
      <c r="W273" s="36"/>
    </row>
    <row r="274" spans="1:23" ht="18" customHeight="1">
      <c r="A274" s="316"/>
      <c r="B274" s="312"/>
      <c r="C274" s="312"/>
      <c r="D274" s="37" t="s">
        <v>154</v>
      </c>
      <c r="E274" s="37" t="s">
        <v>154</v>
      </c>
      <c r="F274" s="37" t="s">
        <v>155</v>
      </c>
      <c r="G274" s="37" t="s">
        <v>186</v>
      </c>
      <c r="H274" s="37" t="s">
        <v>157</v>
      </c>
      <c r="I274" s="37" t="s">
        <v>158</v>
      </c>
      <c r="J274" s="37" t="s">
        <v>190</v>
      </c>
      <c r="K274" s="37" t="s">
        <v>408</v>
      </c>
      <c r="L274" s="37" t="s">
        <v>409</v>
      </c>
      <c r="M274" s="35"/>
      <c r="N274" s="35"/>
      <c r="O274" s="44">
        <v>0</v>
      </c>
      <c r="P274" s="44">
        <v>254741.2</v>
      </c>
      <c r="Q274" s="44">
        <v>257850</v>
      </c>
      <c r="R274" s="44">
        <v>254333.4</v>
      </c>
      <c r="S274" s="44">
        <v>254333.4</v>
      </c>
      <c r="T274" s="44">
        <v>254333.4</v>
      </c>
      <c r="U274" s="44">
        <v>254333.4</v>
      </c>
      <c r="V274" s="44">
        <v>254333.4</v>
      </c>
      <c r="W274" s="36"/>
    </row>
    <row r="275" spans="1:23" ht="18" customHeight="1">
      <c r="A275" s="316"/>
      <c r="B275" s="312"/>
      <c r="C275" s="312"/>
      <c r="D275" s="37" t="s">
        <v>154</v>
      </c>
      <c r="E275" s="37" t="s">
        <v>154</v>
      </c>
      <c r="F275" s="37" t="s">
        <v>155</v>
      </c>
      <c r="G275" s="37" t="s">
        <v>187</v>
      </c>
      <c r="H275" s="37" t="s">
        <v>157</v>
      </c>
      <c r="I275" s="37" t="s">
        <v>158</v>
      </c>
      <c r="J275" s="37" t="s">
        <v>174</v>
      </c>
      <c r="K275" s="37" t="s">
        <v>410</v>
      </c>
      <c r="L275" s="37" t="s">
        <v>87</v>
      </c>
      <c r="M275" s="35"/>
      <c r="N275" s="35"/>
      <c r="O275" s="44">
        <v>0</v>
      </c>
      <c r="P275" s="44">
        <v>394602.8</v>
      </c>
      <c r="Q275" s="44">
        <v>396711.8</v>
      </c>
      <c r="R275" s="44">
        <v>401614.9</v>
      </c>
      <c r="S275" s="44">
        <v>401614.9</v>
      </c>
      <c r="T275" s="44">
        <v>401614.9</v>
      </c>
      <c r="U275" s="44">
        <v>401614.9</v>
      </c>
      <c r="V275" s="44">
        <v>401614.9</v>
      </c>
      <c r="W275" s="36"/>
    </row>
    <row r="276" spans="1:23" ht="18" customHeight="1">
      <c r="A276" s="317"/>
      <c r="B276" s="289"/>
      <c r="C276" s="289"/>
      <c r="D276" s="37" t="s">
        <v>154</v>
      </c>
      <c r="E276" s="37" t="s">
        <v>154</v>
      </c>
      <c r="F276" s="37" t="s">
        <v>155</v>
      </c>
      <c r="G276" s="37" t="s">
        <v>174</v>
      </c>
      <c r="H276" s="37" t="s">
        <v>157</v>
      </c>
      <c r="I276" s="37" t="s">
        <v>158</v>
      </c>
      <c r="J276" s="37" t="s">
        <v>190</v>
      </c>
      <c r="K276" s="37" t="s">
        <v>408</v>
      </c>
      <c r="L276" s="37" t="s">
        <v>419</v>
      </c>
      <c r="M276" s="35"/>
      <c r="N276" s="35"/>
      <c r="O276" s="44">
        <v>0</v>
      </c>
      <c r="P276" s="44">
        <v>2500</v>
      </c>
      <c r="Q276" s="44">
        <v>2500</v>
      </c>
      <c r="R276" s="44">
        <v>2500</v>
      </c>
      <c r="S276" s="44">
        <v>2500</v>
      </c>
      <c r="T276" s="44">
        <v>2500</v>
      </c>
      <c r="U276" s="44">
        <v>2500</v>
      </c>
      <c r="V276" s="44">
        <v>2500</v>
      </c>
      <c r="W276" s="36"/>
    </row>
    <row r="277" spans="1:23" ht="32.25" customHeight="1">
      <c r="A277" s="315" t="s">
        <v>179</v>
      </c>
      <c r="B277" s="288" t="s">
        <v>552</v>
      </c>
      <c r="C277" s="288" t="s">
        <v>177</v>
      </c>
      <c r="D277" s="37" t="s">
        <v>154</v>
      </c>
      <c r="E277" s="37" t="s">
        <v>154</v>
      </c>
      <c r="F277" s="37" t="s">
        <v>154</v>
      </c>
      <c r="G277" s="6"/>
      <c r="H277" s="6"/>
      <c r="I277" s="6"/>
      <c r="J277" s="6"/>
      <c r="K277" s="37"/>
      <c r="L277" s="37"/>
      <c r="M277" s="35">
        <v>17200</v>
      </c>
      <c r="N277" s="35">
        <f>43244.75+744.75</f>
        <v>43989.5</v>
      </c>
      <c r="O277" s="44">
        <f>O278</f>
        <v>68000</v>
      </c>
      <c r="P277" s="44">
        <f>P279</f>
        <v>35000</v>
      </c>
      <c r="Q277" s="44">
        <f aca="true" t="shared" si="55" ref="Q277:V277">Q279</f>
        <v>30000</v>
      </c>
      <c r="R277" s="44">
        <f t="shared" si="55"/>
        <v>30000</v>
      </c>
      <c r="S277" s="44">
        <f t="shared" si="55"/>
        <v>30000</v>
      </c>
      <c r="T277" s="44">
        <f t="shared" si="55"/>
        <v>30000</v>
      </c>
      <c r="U277" s="44">
        <f t="shared" si="55"/>
        <v>30000</v>
      </c>
      <c r="V277" s="44">
        <f t="shared" si="55"/>
        <v>30000</v>
      </c>
      <c r="W277" s="36"/>
    </row>
    <row r="278" spans="1:23" ht="32.25" customHeight="1">
      <c r="A278" s="316"/>
      <c r="B278" s="312"/>
      <c r="C278" s="312"/>
      <c r="D278" s="37" t="s">
        <v>154</v>
      </c>
      <c r="E278" s="37" t="s">
        <v>154</v>
      </c>
      <c r="F278" s="37" t="s">
        <v>154</v>
      </c>
      <c r="G278" s="37" t="s">
        <v>155</v>
      </c>
      <c r="H278" s="37" t="s">
        <v>157</v>
      </c>
      <c r="I278" s="37" t="s">
        <v>158</v>
      </c>
      <c r="J278" s="37" t="s">
        <v>174</v>
      </c>
      <c r="K278" s="37" t="s">
        <v>86</v>
      </c>
      <c r="L278" s="37" t="s">
        <v>80</v>
      </c>
      <c r="M278" s="35"/>
      <c r="N278" s="35"/>
      <c r="O278" s="44">
        <v>68000</v>
      </c>
      <c r="P278" s="44"/>
      <c r="Q278" s="44"/>
      <c r="R278" s="44"/>
      <c r="S278" s="44"/>
      <c r="T278" s="44"/>
      <c r="U278" s="44"/>
      <c r="V278" s="44"/>
      <c r="W278" s="36"/>
    </row>
    <row r="279" spans="1:23" ht="30" customHeight="1">
      <c r="A279" s="317"/>
      <c r="B279" s="289"/>
      <c r="C279" s="289"/>
      <c r="D279" s="37" t="s">
        <v>154</v>
      </c>
      <c r="E279" s="37" t="s">
        <v>154</v>
      </c>
      <c r="F279" s="37" t="s">
        <v>155</v>
      </c>
      <c r="G279" s="37" t="s">
        <v>169</v>
      </c>
      <c r="H279" s="37" t="s">
        <v>157</v>
      </c>
      <c r="I279" s="37" t="s">
        <v>158</v>
      </c>
      <c r="J279" s="37" t="s">
        <v>174</v>
      </c>
      <c r="K279" s="37" t="s">
        <v>407</v>
      </c>
      <c r="L279" s="37" t="s">
        <v>80</v>
      </c>
      <c r="M279" s="35"/>
      <c r="N279" s="35"/>
      <c r="O279" s="44">
        <v>0</v>
      </c>
      <c r="P279" s="44">
        <v>35000</v>
      </c>
      <c r="Q279" s="44">
        <v>30000</v>
      </c>
      <c r="R279" s="44">
        <v>30000</v>
      </c>
      <c r="S279" s="44">
        <v>30000</v>
      </c>
      <c r="T279" s="44">
        <v>30000</v>
      </c>
      <c r="U279" s="44">
        <v>30000</v>
      </c>
      <c r="V279" s="44">
        <v>30000</v>
      </c>
      <c r="W279" s="36"/>
    </row>
    <row r="280" spans="1:23" ht="27" customHeight="1">
      <c r="A280" s="315" t="s">
        <v>179</v>
      </c>
      <c r="B280" s="288" t="s">
        <v>602</v>
      </c>
      <c r="C280" s="288" t="s">
        <v>177</v>
      </c>
      <c r="D280" s="37" t="s">
        <v>154</v>
      </c>
      <c r="E280" s="37" t="s">
        <v>154</v>
      </c>
      <c r="F280" s="37" t="s">
        <v>182</v>
      </c>
      <c r="G280" s="37"/>
      <c r="H280" s="37"/>
      <c r="I280" s="37"/>
      <c r="J280" s="37"/>
      <c r="K280" s="37"/>
      <c r="L280" s="37"/>
      <c r="M280" s="35">
        <v>46278.4</v>
      </c>
      <c r="N280" s="35">
        <v>48283.3</v>
      </c>
      <c r="O280" s="44">
        <f>O281+O282</f>
        <v>45097.5</v>
      </c>
      <c r="P280" s="44">
        <f>SUM(P283:P288)</f>
        <v>47463.99999999999</v>
      </c>
      <c r="Q280" s="44">
        <f aca="true" t="shared" si="56" ref="Q280:V280">SUM(Q283:Q288)</f>
        <v>47465.2</v>
      </c>
      <c r="R280" s="44">
        <f t="shared" si="56"/>
        <v>47480.7</v>
      </c>
      <c r="S280" s="44">
        <f t="shared" si="56"/>
        <v>47480.7</v>
      </c>
      <c r="T280" s="44">
        <f t="shared" si="56"/>
        <v>47480.7</v>
      </c>
      <c r="U280" s="44">
        <f t="shared" si="56"/>
        <v>47480.7</v>
      </c>
      <c r="V280" s="44">
        <f t="shared" si="56"/>
        <v>47480.7</v>
      </c>
      <c r="W280" s="36"/>
    </row>
    <row r="281" spans="1:23" ht="28.5" customHeight="1">
      <c r="A281" s="316"/>
      <c r="B281" s="312"/>
      <c r="C281" s="312"/>
      <c r="D281" s="37" t="s">
        <v>154</v>
      </c>
      <c r="E281" s="37" t="s">
        <v>154</v>
      </c>
      <c r="F281" s="37" t="s">
        <v>182</v>
      </c>
      <c r="G281" s="37" t="s">
        <v>155</v>
      </c>
      <c r="H281" s="37" t="s">
        <v>157</v>
      </c>
      <c r="I281" s="37" t="s">
        <v>158</v>
      </c>
      <c r="J281" s="37" t="s">
        <v>190</v>
      </c>
      <c r="K281" s="37" t="s">
        <v>89</v>
      </c>
      <c r="L281" s="37" t="s">
        <v>87</v>
      </c>
      <c r="M281" s="35"/>
      <c r="N281" s="35"/>
      <c r="O281" s="44">
        <v>42097.5</v>
      </c>
      <c r="P281" s="44"/>
      <c r="Q281" s="44"/>
      <c r="R281" s="44"/>
      <c r="S281" s="44"/>
      <c r="T281" s="44"/>
      <c r="U281" s="44"/>
      <c r="V281" s="44"/>
      <c r="W281" s="36"/>
    </row>
    <row r="282" spans="1:23" ht="40.5" customHeight="1">
      <c r="A282" s="316"/>
      <c r="B282" s="312"/>
      <c r="C282" s="312"/>
      <c r="D282" s="37" t="s">
        <v>154</v>
      </c>
      <c r="E282" s="37" t="s">
        <v>154</v>
      </c>
      <c r="F282" s="37" t="s">
        <v>182</v>
      </c>
      <c r="G282" s="37" t="s">
        <v>154</v>
      </c>
      <c r="H282" s="37" t="s">
        <v>157</v>
      </c>
      <c r="I282" s="37" t="s">
        <v>158</v>
      </c>
      <c r="J282" s="37" t="s">
        <v>190</v>
      </c>
      <c r="K282" s="37" t="s">
        <v>89</v>
      </c>
      <c r="L282" s="37" t="s">
        <v>90</v>
      </c>
      <c r="M282" s="35"/>
      <c r="N282" s="35"/>
      <c r="O282" s="44">
        <v>3000</v>
      </c>
      <c r="P282" s="44"/>
      <c r="Q282" s="44"/>
      <c r="R282" s="44"/>
      <c r="S282" s="44"/>
      <c r="T282" s="44"/>
      <c r="U282" s="44"/>
      <c r="V282" s="44"/>
      <c r="W282" s="36"/>
    </row>
    <row r="283" spans="1:23" ht="24" customHeight="1">
      <c r="A283" s="316"/>
      <c r="B283" s="312"/>
      <c r="C283" s="312"/>
      <c r="D283" s="37" t="s">
        <v>154</v>
      </c>
      <c r="E283" s="37" t="s">
        <v>154</v>
      </c>
      <c r="F283" s="37" t="s">
        <v>182</v>
      </c>
      <c r="G283" s="37" t="s">
        <v>154</v>
      </c>
      <c r="H283" s="37" t="s">
        <v>157</v>
      </c>
      <c r="I283" s="37" t="s">
        <v>158</v>
      </c>
      <c r="J283" s="37" t="s">
        <v>190</v>
      </c>
      <c r="K283" s="37" t="s">
        <v>406</v>
      </c>
      <c r="L283" s="37" t="s">
        <v>101</v>
      </c>
      <c r="M283" s="35"/>
      <c r="N283" s="35"/>
      <c r="O283" s="44">
        <v>0</v>
      </c>
      <c r="P283" s="44">
        <v>26649.3</v>
      </c>
      <c r="Q283" s="44">
        <v>26649.3</v>
      </c>
      <c r="R283" s="44">
        <v>26649.3</v>
      </c>
      <c r="S283" s="44">
        <v>26649.3</v>
      </c>
      <c r="T283" s="44">
        <v>26649.3</v>
      </c>
      <c r="U283" s="44">
        <v>26649.3</v>
      </c>
      <c r="V283" s="44">
        <v>26649.3</v>
      </c>
      <c r="W283" s="36"/>
    </row>
    <row r="284" spans="1:23" ht="24" customHeight="1">
      <c r="A284" s="316"/>
      <c r="B284" s="312"/>
      <c r="C284" s="312"/>
      <c r="D284" s="37" t="s">
        <v>154</v>
      </c>
      <c r="E284" s="37" t="s">
        <v>154</v>
      </c>
      <c r="F284" s="37" t="s">
        <v>182</v>
      </c>
      <c r="G284" s="37" t="s">
        <v>154</v>
      </c>
      <c r="H284" s="37" t="s">
        <v>157</v>
      </c>
      <c r="I284" s="37" t="s">
        <v>158</v>
      </c>
      <c r="J284" s="37" t="s">
        <v>190</v>
      </c>
      <c r="K284" s="37" t="s">
        <v>406</v>
      </c>
      <c r="L284" s="37" t="s">
        <v>102</v>
      </c>
      <c r="M284" s="35"/>
      <c r="N284" s="35"/>
      <c r="O284" s="44">
        <v>0</v>
      </c>
      <c r="P284" s="44">
        <v>350</v>
      </c>
      <c r="Q284" s="44">
        <v>350</v>
      </c>
      <c r="R284" s="44">
        <v>350</v>
      </c>
      <c r="S284" s="44">
        <v>350</v>
      </c>
      <c r="T284" s="44">
        <v>350</v>
      </c>
      <c r="U284" s="44">
        <v>350</v>
      </c>
      <c r="V284" s="44">
        <v>350</v>
      </c>
      <c r="W284" s="36"/>
    </row>
    <row r="285" spans="1:23" ht="24" customHeight="1">
      <c r="A285" s="316"/>
      <c r="B285" s="312"/>
      <c r="C285" s="312"/>
      <c r="D285" s="37" t="s">
        <v>154</v>
      </c>
      <c r="E285" s="37" t="s">
        <v>154</v>
      </c>
      <c r="F285" s="37" t="s">
        <v>182</v>
      </c>
      <c r="G285" s="37" t="s">
        <v>154</v>
      </c>
      <c r="H285" s="37" t="s">
        <v>157</v>
      </c>
      <c r="I285" s="37" t="s">
        <v>158</v>
      </c>
      <c r="J285" s="37" t="s">
        <v>190</v>
      </c>
      <c r="K285" s="37" t="s">
        <v>406</v>
      </c>
      <c r="L285" s="37" t="s">
        <v>96</v>
      </c>
      <c r="M285" s="35"/>
      <c r="N285" s="35"/>
      <c r="O285" s="44">
        <v>0</v>
      </c>
      <c r="P285" s="44">
        <v>1384.1</v>
      </c>
      <c r="Q285" s="44">
        <v>1384.1</v>
      </c>
      <c r="R285" s="44">
        <v>1384.1</v>
      </c>
      <c r="S285" s="44">
        <v>1384.1</v>
      </c>
      <c r="T285" s="44">
        <v>1384.1</v>
      </c>
      <c r="U285" s="44">
        <v>1384.1</v>
      </c>
      <c r="V285" s="44">
        <v>1384.1</v>
      </c>
      <c r="W285" s="36"/>
    </row>
    <row r="286" spans="1:23" ht="24" customHeight="1">
      <c r="A286" s="316"/>
      <c r="B286" s="312"/>
      <c r="C286" s="312"/>
      <c r="D286" s="37" t="s">
        <v>154</v>
      </c>
      <c r="E286" s="37" t="s">
        <v>154</v>
      </c>
      <c r="F286" s="37" t="s">
        <v>182</v>
      </c>
      <c r="G286" s="37" t="s">
        <v>154</v>
      </c>
      <c r="H286" s="37" t="s">
        <v>157</v>
      </c>
      <c r="I286" s="37" t="s">
        <v>158</v>
      </c>
      <c r="J286" s="37" t="s">
        <v>190</v>
      </c>
      <c r="K286" s="37" t="s">
        <v>406</v>
      </c>
      <c r="L286" s="37" t="s">
        <v>92</v>
      </c>
      <c r="M286" s="35"/>
      <c r="N286" s="35"/>
      <c r="O286" s="44">
        <v>0</v>
      </c>
      <c r="P286" s="44">
        <v>17966.5</v>
      </c>
      <c r="Q286" s="44">
        <v>17967.7</v>
      </c>
      <c r="R286" s="44">
        <v>17983.2</v>
      </c>
      <c r="S286" s="44">
        <v>17983.2</v>
      </c>
      <c r="T286" s="44">
        <v>17983.2</v>
      </c>
      <c r="U286" s="44">
        <v>17983.2</v>
      </c>
      <c r="V286" s="44">
        <v>17983.2</v>
      </c>
      <c r="W286" s="36"/>
    </row>
    <row r="287" spans="1:23" ht="24" customHeight="1">
      <c r="A287" s="316"/>
      <c r="B287" s="312"/>
      <c r="C287" s="312"/>
      <c r="D287" s="37" t="s">
        <v>154</v>
      </c>
      <c r="E287" s="37" t="s">
        <v>154</v>
      </c>
      <c r="F287" s="37" t="s">
        <v>182</v>
      </c>
      <c r="G287" s="37" t="s">
        <v>154</v>
      </c>
      <c r="H287" s="37" t="s">
        <v>157</v>
      </c>
      <c r="I287" s="37" t="s">
        <v>158</v>
      </c>
      <c r="J287" s="37" t="s">
        <v>190</v>
      </c>
      <c r="K287" s="37" t="s">
        <v>406</v>
      </c>
      <c r="L287" s="37" t="s">
        <v>98</v>
      </c>
      <c r="M287" s="35"/>
      <c r="N287" s="35"/>
      <c r="O287" s="44">
        <v>0</v>
      </c>
      <c r="P287" s="44">
        <v>814.1</v>
      </c>
      <c r="Q287" s="44">
        <v>814.1</v>
      </c>
      <c r="R287" s="44">
        <v>814.1</v>
      </c>
      <c r="S287" s="44">
        <v>814.1</v>
      </c>
      <c r="T287" s="44">
        <v>814.1</v>
      </c>
      <c r="U287" s="44">
        <v>814.1</v>
      </c>
      <c r="V287" s="44">
        <v>814.1</v>
      </c>
      <c r="W287" s="36"/>
    </row>
    <row r="288" spans="1:23" ht="27.75" customHeight="1">
      <c r="A288" s="317"/>
      <c r="B288" s="289"/>
      <c r="C288" s="289"/>
      <c r="D288" s="37" t="s">
        <v>154</v>
      </c>
      <c r="E288" s="37" t="s">
        <v>154</v>
      </c>
      <c r="F288" s="37" t="s">
        <v>182</v>
      </c>
      <c r="G288" s="37" t="s">
        <v>154</v>
      </c>
      <c r="H288" s="37" t="s">
        <v>157</v>
      </c>
      <c r="I288" s="37" t="s">
        <v>158</v>
      </c>
      <c r="J288" s="37" t="s">
        <v>190</v>
      </c>
      <c r="K288" s="37" t="s">
        <v>406</v>
      </c>
      <c r="L288" s="37" t="s">
        <v>99</v>
      </c>
      <c r="M288" s="35"/>
      <c r="N288" s="35"/>
      <c r="O288" s="44">
        <v>0</v>
      </c>
      <c r="P288" s="44">
        <v>300</v>
      </c>
      <c r="Q288" s="44">
        <v>300</v>
      </c>
      <c r="R288" s="44">
        <v>300</v>
      </c>
      <c r="S288" s="44">
        <v>300</v>
      </c>
      <c r="T288" s="44">
        <v>300</v>
      </c>
      <c r="U288" s="44">
        <v>300</v>
      </c>
      <c r="V288" s="44">
        <v>300</v>
      </c>
      <c r="W288" s="36"/>
    </row>
    <row r="289" spans="1:23" ht="27.75" customHeight="1">
      <c r="A289" s="315" t="s">
        <v>179</v>
      </c>
      <c r="B289" s="288" t="s">
        <v>603</v>
      </c>
      <c r="C289" s="288" t="s">
        <v>177</v>
      </c>
      <c r="D289" s="37" t="s">
        <v>154</v>
      </c>
      <c r="E289" s="37" t="s">
        <v>154</v>
      </c>
      <c r="F289" s="37" t="s">
        <v>158</v>
      </c>
      <c r="G289" s="37"/>
      <c r="H289" s="37"/>
      <c r="I289" s="37"/>
      <c r="J289" s="37"/>
      <c r="K289" s="37"/>
      <c r="L289" s="37"/>
      <c r="M289" s="35"/>
      <c r="N289" s="35"/>
      <c r="O289" s="44">
        <v>0</v>
      </c>
      <c r="P289" s="44">
        <f aca="true" t="shared" si="57" ref="P289:V289">P290+P292</f>
        <v>0</v>
      </c>
      <c r="Q289" s="44">
        <f t="shared" si="57"/>
        <v>0</v>
      </c>
      <c r="R289" s="44">
        <f t="shared" si="57"/>
        <v>0</v>
      </c>
      <c r="S289" s="44">
        <f t="shared" si="57"/>
        <v>0</v>
      </c>
      <c r="T289" s="44">
        <f t="shared" si="57"/>
        <v>0</v>
      </c>
      <c r="U289" s="44">
        <f t="shared" si="57"/>
        <v>0</v>
      </c>
      <c r="V289" s="44">
        <f t="shared" si="57"/>
        <v>0</v>
      </c>
      <c r="W289" s="36"/>
    </row>
    <row r="290" spans="1:23" ht="30" customHeight="1">
      <c r="A290" s="316"/>
      <c r="B290" s="312"/>
      <c r="C290" s="289"/>
      <c r="D290" s="37" t="s">
        <v>154</v>
      </c>
      <c r="E290" s="37" t="s">
        <v>154</v>
      </c>
      <c r="F290" s="37" t="s">
        <v>158</v>
      </c>
      <c r="G290" s="37" t="s">
        <v>155</v>
      </c>
      <c r="H290" s="37" t="s">
        <v>157</v>
      </c>
      <c r="I290" s="37"/>
      <c r="J290" s="37"/>
      <c r="K290" s="37"/>
      <c r="L290" s="37"/>
      <c r="M290" s="35">
        <v>0</v>
      </c>
      <c r="N290" s="35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36"/>
    </row>
    <row r="291" spans="1:23" ht="30" customHeight="1">
      <c r="A291" s="316"/>
      <c r="B291" s="312"/>
      <c r="C291" s="288" t="s">
        <v>106</v>
      </c>
      <c r="D291" s="145" t="s">
        <v>154</v>
      </c>
      <c r="E291" s="145" t="s">
        <v>154</v>
      </c>
      <c r="F291" s="145" t="s">
        <v>158</v>
      </c>
      <c r="G291" s="145" t="s">
        <v>154</v>
      </c>
      <c r="H291" s="145" t="s">
        <v>188</v>
      </c>
      <c r="I291" s="37"/>
      <c r="J291" s="37"/>
      <c r="K291" s="37"/>
      <c r="L291" s="37"/>
      <c r="M291" s="35"/>
      <c r="N291" s="35"/>
      <c r="O291" s="44">
        <f>SUM(O292:O295)</f>
        <v>2000</v>
      </c>
      <c r="P291" s="44">
        <f aca="true" t="shared" si="58" ref="P291:V291">SUM(P292:P295)</f>
        <v>2757.2</v>
      </c>
      <c r="Q291" s="44">
        <f t="shared" si="58"/>
        <v>2675</v>
      </c>
      <c r="R291" s="44">
        <f t="shared" si="58"/>
        <v>2675</v>
      </c>
      <c r="S291" s="44">
        <f t="shared" si="58"/>
        <v>2675</v>
      </c>
      <c r="T291" s="44">
        <f t="shared" si="58"/>
        <v>2675</v>
      </c>
      <c r="U291" s="44">
        <f t="shared" si="58"/>
        <v>2675</v>
      </c>
      <c r="V291" s="44">
        <f t="shared" si="58"/>
        <v>2675</v>
      </c>
      <c r="W291" s="36"/>
    </row>
    <row r="292" spans="1:23" ht="65.25" customHeight="1">
      <c r="A292" s="316"/>
      <c r="B292" s="312"/>
      <c r="C292" s="312"/>
      <c r="D292" s="145" t="s">
        <v>154</v>
      </c>
      <c r="E292" s="145" t="s">
        <v>154</v>
      </c>
      <c r="F292" s="145" t="s">
        <v>158</v>
      </c>
      <c r="G292" s="145" t="s">
        <v>154</v>
      </c>
      <c r="H292" s="145" t="s">
        <v>188</v>
      </c>
      <c r="I292" s="145" t="s">
        <v>182</v>
      </c>
      <c r="J292" s="145" t="s">
        <v>190</v>
      </c>
      <c r="K292" s="145" t="s">
        <v>65</v>
      </c>
      <c r="L292" s="145" t="s">
        <v>96</v>
      </c>
      <c r="M292" s="35">
        <v>257.5</v>
      </c>
      <c r="N292" s="35">
        <v>0</v>
      </c>
      <c r="O292" s="44">
        <v>2000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36"/>
    </row>
    <row r="293" spans="1:23" ht="22.5" customHeight="1">
      <c r="A293" s="316"/>
      <c r="B293" s="312"/>
      <c r="C293" s="312"/>
      <c r="D293" s="145" t="s">
        <v>154</v>
      </c>
      <c r="E293" s="145" t="s">
        <v>154</v>
      </c>
      <c r="F293" s="145" t="s">
        <v>158</v>
      </c>
      <c r="G293" s="145" t="s">
        <v>154</v>
      </c>
      <c r="H293" s="145" t="s">
        <v>189</v>
      </c>
      <c r="I293" s="145" t="s">
        <v>182</v>
      </c>
      <c r="J293" s="145" t="s">
        <v>190</v>
      </c>
      <c r="K293" s="145" t="s">
        <v>597</v>
      </c>
      <c r="L293" s="145" t="s">
        <v>101</v>
      </c>
      <c r="M293" s="35"/>
      <c r="N293" s="35"/>
      <c r="O293" s="44">
        <v>0</v>
      </c>
      <c r="P293" s="44">
        <v>2650.2</v>
      </c>
      <c r="Q293" s="44">
        <v>2650</v>
      </c>
      <c r="R293" s="44">
        <v>2650</v>
      </c>
      <c r="S293" s="44">
        <v>2650</v>
      </c>
      <c r="T293" s="44">
        <v>2650</v>
      </c>
      <c r="U293" s="44">
        <v>2650</v>
      </c>
      <c r="V293" s="44">
        <v>2650</v>
      </c>
      <c r="W293" s="36"/>
    </row>
    <row r="294" spans="1:23" ht="22.5" customHeight="1">
      <c r="A294" s="316"/>
      <c r="B294" s="312"/>
      <c r="C294" s="312"/>
      <c r="D294" s="145" t="s">
        <v>154</v>
      </c>
      <c r="E294" s="145" t="s">
        <v>154</v>
      </c>
      <c r="F294" s="145" t="s">
        <v>158</v>
      </c>
      <c r="G294" s="145" t="s">
        <v>154</v>
      </c>
      <c r="H294" s="145" t="s">
        <v>188</v>
      </c>
      <c r="I294" s="145" t="s">
        <v>182</v>
      </c>
      <c r="J294" s="145" t="s">
        <v>190</v>
      </c>
      <c r="K294" s="145" t="s">
        <v>597</v>
      </c>
      <c r="L294" s="145" t="s">
        <v>96</v>
      </c>
      <c r="M294" s="35"/>
      <c r="N294" s="35"/>
      <c r="O294" s="44">
        <v>0</v>
      </c>
      <c r="P294" s="44">
        <v>30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36"/>
    </row>
    <row r="295" spans="1:23" ht="22.5" customHeight="1">
      <c r="A295" s="317"/>
      <c r="B295" s="289"/>
      <c r="C295" s="289"/>
      <c r="D295" s="145" t="s">
        <v>154</v>
      </c>
      <c r="E295" s="145" t="s">
        <v>154</v>
      </c>
      <c r="F295" s="145" t="s">
        <v>158</v>
      </c>
      <c r="G295" s="145" t="s">
        <v>154</v>
      </c>
      <c r="H295" s="145" t="s">
        <v>188</v>
      </c>
      <c r="I295" s="145" t="s">
        <v>182</v>
      </c>
      <c r="J295" s="145" t="s">
        <v>190</v>
      </c>
      <c r="K295" s="145" t="s">
        <v>597</v>
      </c>
      <c r="L295" s="145" t="s">
        <v>92</v>
      </c>
      <c r="M295" s="35"/>
      <c r="N295" s="35"/>
      <c r="O295" s="44">
        <v>0</v>
      </c>
      <c r="P295" s="44">
        <v>77</v>
      </c>
      <c r="Q295" s="44">
        <v>25</v>
      </c>
      <c r="R295" s="44">
        <v>25</v>
      </c>
      <c r="S295" s="44">
        <v>25</v>
      </c>
      <c r="T295" s="44">
        <v>25</v>
      </c>
      <c r="U295" s="44">
        <v>25</v>
      </c>
      <c r="V295" s="44">
        <v>25</v>
      </c>
      <c r="W295" s="36"/>
    </row>
    <row r="296" spans="1:23" ht="21.75" customHeight="1">
      <c r="A296" s="315" t="s">
        <v>179</v>
      </c>
      <c r="B296" s="288" t="s">
        <v>204</v>
      </c>
      <c r="C296" s="288" t="s">
        <v>177</v>
      </c>
      <c r="D296" s="37" t="s">
        <v>154</v>
      </c>
      <c r="E296" s="37" t="s">
        <v>154</v>
      </c>
      <c r="F296" s="37" t="s">
        <v>169</v>
      </c>
      <c r="G296" s="37"/>
      <c r="H296" s="37"/>
      <c r="I296" s="37"/>
      <c r="J296" s="37"/>
      <c r="K296" s="37"/>
      <c r="L296" s="37"/>
      <c r="M296" s="35"/>
      <c r="N296" s="35"/>
      <c r="O296" s="44">
        <f>O297+O305+O308+O309</f>
        <v>50104.4</v>
      </c>
      <c r="P296" s="44">
        <f>P297</f>
        <v>3170.3</v>
      </c>
      <c r="Q296" s="44">
        <f aca="true" t="shared" si="59" ref="Q296:V296">Q297</f>
        <v>3170.3</v>
      </c>
      <c r="R296" s="44">
        <f t="shared" si="59"/>
        <v>3170.3</v>
      </c>
      <c r="S296" s="44">
        <f t="shared" si="59"/>
        <v>3170.3</v>
      </c>
      <c r="T296" s="44">
        <f t="shared" si="59"/>
        <v>3170.3</v>
      </c>
      <c r="U296" s="44">
        <f t="shared" si="59"/>
        <v>3170.3</v>
      </c>
      <c r="V296" s="44">
        <f t="shared" si="59"/>
        <v>3170.3</v>
      </c>
      <c r="W296" s="36"/>
    </row>
    <row r="297" spans="1:23" ht="18.75" customHeight="1">
      <c r="A297" s="316"/>
      <c r="B297" s="312"/>
      <c r="C297" s="312"/>
      <c r="D297" s="37" t="s">
        <v>154</v>
      </c>
      <c r="E297" s="37" t="s">
        <v>154</v>
      </c>
      <c r="F297" s="37" t="s">
        <v>169</v>
      </c>
      <c r="G297" s="37"/>
      <c r="H297" s="37" t="s">
        <v>157</v>
      </c>
      <c r="I297" s="37"/>
      <c r="J297" s="37"/>
      <c r="K297" s="37"/>
      <c r="L297" s="37"/>
      <c r="M297" s="35"/>
      <c r="N297" s="35"/>
      <c r="O297" s="44">
        <f>O298+O299+O300+O301</f>
        <v>46678.9</v>
      </c>
      <c r="P297" s="44">
        <f>SUM(P302:P304)</f>
        <v>3170.3</v>
      </c>
      <c r="Q297" s="44">
        <f aca="true" t="shared" si="60" ref="Q297:V297">SUM(Q302:Q304)</f>
        <v>3170.3</v>
      </c>
      <c r="R297" s="44">
        <f t="shared" si="60"/>
        <v>3170.3</v>
      </c>
      <c r="S297" s="44">
        <f t="shared" si="60"/>
        <v>3170.3</v>
      </c>
      <c r="T297" s="44">
        <f t="shared" si="60"/>
        <v>3170.3</v>
      </c>
      <c r="U297" s="44">
        <f t="shared" si="60"/>
        <v>3170.3</v>
      </c>
      <c r="V297" s="44">
        <f t="shared" si="60"/>
        <v>3170.3</v>
      </c>
      <c r="W297" s="36"/>
    </row>
    <row r="298" spans="1:23" ht="21" customHeight="1">
      <c r="A298" s="316"/>
      <c r="B298" s="312"/>
      <c r="C298" s="312"/>
      <c r="D298" s="37" t="s">
        <v>154</v>
      </c>
      <c r="E298" s="37" t="s">
        <v>154</v>
      </c>
      <c r="F298" s="37" t="s">
        <v>169</v>
      </c>
      <c r="G298" s="37" t="s">
        <v>155</v>
      </c>
      <c r="H298" s="37" t="s">
        <v>157</v>
      </c>
      <c r="I298" s="37" t="s">
        <v>182</v>
      </c>
      <c r="J298" s="37" t="s">
        <v>156</v>
      </c>
      <c r="K298" s="37" t="s">
        <v>91</v>
      </c>
      <c r="L298" s="37" t="s">
        <v>184</v>
      </c>
      <c r="M298" s="35"/>
      <c r="N298" s="35"/>
      <c r="O298" s="44">
        <v>1100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36"/>
    </row>
    <row r="299" spans="1:23" ht="22.5" customHeight="1">
      <c r="A299" s="316"/>
      <c r="B299" s="312"/>
      <c r="C299" s="312"/>
      <c r="D299" s="37" t="s">
        <v>154</v>
      </c>
      <c r="E299" s="37" t="s">
        <v>154</v>
      </c>
      <c r="F299" s="37" t="s">
        <v>169</v>
      </c>
      <c r="G299" s="37" t="s">
        <v>154</v>
      </c>
      <c r="H299" s="37" t="s">
        <v>157</v>
      </c>
      <c r="I299" s="37" t="s">
        <v>182</v>
      </c>
      <c r="J299" s="37" t="s">
        <v>156</v>
      </c>
      <c r="K299" s="37" t="s">
        <v>91</v>
      </c>
      <c r="L299" s="37" t="s">
        <v>76</v>
      </c>
      <c r="M299" s="35"/>
      <c r="N299" s="35"/>
      <c r="O299" s="44">
        <v>2000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36"/>
    </row>
    <row r="300" spans="1:23" ht="21.75" customHeight="1">
      <c r="A300" s="316"/>
      <c r="B300" s="312"/>
      <c r="C300" s="312"/>
      <c r="D300" s="37" t="s">
        <v>154</v>
      </c>
      <c r="E300" s="37" t="s">
        <v>154</v>
      </c>
      <c r="F300" s="37" t="s">
        <v>169</v>
      </c>
      <c r="G300" s="37" t="s">
        <v>182</v>
      </c>
      <c r="H300" s="37" t="s">
        <v>157</v>
      </c>
      <c r="I300" s="37" t="s">
        <v>158</v>
      </c>
      <c r="J300" s="37" t="s">
        <v>190</v>
      </c>
      <c r="K300" s="37" t="s">
        <v>91</v>
      </c>
      <c r="L300" s="37" t="s">
        <v>87</v>
      </c>
      <c r="M300" s="35">
        <v>17220.5</v>
      </c>
      <c r="N300" s="35">
        <f>14175+5100</f>
        <v>19275</v>
      </c>
      <c r="O300" s="44">
        <v>40578.9</v>
      </c>
      <c r="P300" s="44">
        <v>0</v>
      </c>
      <c r="Q300" s="44">
        <v>0</v>
      </c>
      <c r="R300" s="44"/>
      <c r="S300" s="44"/>
      <c r="T300" s="44"/>
      <c r="U300" s="44"/>
      <c r="V300" s="44"/>
      <c r="W300" s="36"/>
    </row>
    <row r="301" spans="1:23" ht="18.75" customHeight="1">
      <c r="A301" s="316"/>
      <c r="B301" s="312"/>
      <c r="C301" s="312"/>
      <c r="D301" s="37" t="s">
        <v>154</v>
      </c>
      <c r="E301" s="37" t="s">
        <v>154</v>
      </c>
      <c r="F301" s="37" t="s">
        <v>169</v>
      </c>
      <c r="G301" s="37" t="s">
        <v>158</v>
      </c>
      <c r="H301" s="37" t="s">
        <v>157</v>
      </c>
      <c r="I301" s="37" t="s">
        <v>158</v>
      </c>
      <c r="J301" s="37" t="s">
        <v>181</v>
      </c>
      <c r="K301" s="37" t="s">
        <v>91</v>
      </c>
      <c r="L301" s="37" t="s">
        <v>80</v>
      </c>
      <c r="M301" s="35"/>
      <c r="N301" s="35"/>
      <c r="O301" s="44">
        <v>3000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36"/>
    </row>
    <row r="302" spans="1:23" ht="18.75" customHeight="1">
      <c r="A302" s="316"/>
      <c r="B302" s="312"/>
      <c r="C302" s="312"/>
      <c r="D302" s="37" t="s">
        <v>154</v>
      </c>
      <c r="E302" s="37" t="s">
        <v>154</v>
      </c>
      <c r="F302" s="37" t="s">
        <v>169</v>
      </c>
      <c r="G302" s="37" t="s">
        <v>169</v>
      </c>
      <c r="H302" s="37" t="s">
        <v>157</v>
      </c>
      <c r="I302" s="37" t="s">
        <v>182</v>
      </c>
      <c r="J302" s="37" t="s">
        <v>156</v>
      </c>
      <c r="K302" s="37" t="s">
        <v>417</v>
      </c>
      <c r="L302" s="37" t="s">
        <v>184</v>
      </c>
      <c r="M302" s="35"/>
      <c r="N302" s="35"/>
      <c r="O302" s="44">
        <v>0</v>
      </c>
      <c r="P302" s="44">
        <v>1000</v>
      </c>
      <c r="Q302" s="44">
        <v>1000</v>
      </c>
      <c r="R302" s="44">
        <v>1000</v>
      </c>
      <c r="S302" s="44">
        <v>1000</v>
      </c>
      <c r="T302" s="44">
        <v>1000</v>
      </c>
      <c r="U302" s="44">
        <v>1000</v>
      </c>
      <c r="V302" s="44">
        <v>1000</v>
      </c>
      <c r="W302" s="36"/>
    </row>
    <row r="303" spans="1:23" ht="18.75" customHeight="1">
      <c r="A303" s="316"/>
      <c r="B303" s="312"/>
      <c r="C303" s="312"/>
      <c r="D303" s="37" t="s">
        <v>154</v>
      </c>
      <c r="E303" s="37" t="s">
        <v>154</v>
      </c>
      <c r="F303" s="37" t="s">
        <v>169</v>
      </c>
      <c r="G303" s="37" t="s">
        <v>186</v>
      </c>
      <c r="H303" s="37" t="s">
        <v>157</v>
      </c>
      <c r="I303" s="37" t="s">
        <v>182</v>
      </c>
      <c r="J303" s="37" t="s">
        <v>156</v>
      </c>
      <c r="K303" s="37" t="s">
        <v>418</v>
      </c>
      <c r="L303" s="37" t="s">
        <v>184</v>
      </c>
      <c r="M303" s="35"/>
      <c r="N303" s="35"/>
      <c r="O303" s="44">
        <v>0</v>
      </c>
      <c r="P303" s="44">
        <v>170.3</v>
      </c>
      <c r="Q303" s="44">
        <v>170.3</v>
      </c>
      <c r="R303" s="44">
        <v>170.3</v>
      </c>
      <c r="S303" s="44">
        <v>170.3</v>
      </c>
      <c r="T303" s="44">
        <v>170.3</v>
      </c>
      <c r="U303" s="44">
        <v>170.3</v>
      </c>
      <c r="V303" s="44">
        <v>170.3</v>
      </c>
      <c r="W303" s="36"/>
    </row>
    <row r="304" spans="1:23" ht="18.75" customHeight="1">
      <c r="A304" s="316"/>
      <c r="B304" s="312"/>
      <c r="C304" s="289"/>
      <c r="D304" s="37" t="s">
        <v>154</v>
      </c>
      <c r="E304" s="37" t="s">
        <v>154</v>
      </c>
      <c r="F304" s="37" t="s">
        <v>169</v>
      </c>
      <c r="G304" s="37" t="s">
        <v>187</v>
      </c>
      <c r="H304" s="37" t="s">
        <v>157</v>
      </c>
      <c r="I304" s="37" t="s">
        <v>158</v>
      </c>
      <c r="J304" s="37" t="s">
        <v>181</v>
      </c>
      <c r="K304" s="37" t="s">
        <v>599</v>
      </c>
      <c r="L304" s="37" t="s">
        <v>80</v>
      </c>
      <c r="M304" s="35"/>
      <c r="N304" s="35"/>
      <c r="O304" s="44">
        <v>0</v>
      </c>
      <c r="P304" s="44">
        <v>2000</v>
      </c>
      <c r="Q304" s="44">
        <v>2000</v>
      </c>
      <c r="R304" s="44">
        <v>2000</v>
      </c>
      <c r="S304" s="44">
        <v>2000</v>
      </c>
      <c r="T304" s="44">
        <v>2000</v>
      </c>
      <c r="U304" s="44">
        <v>2000</v>
      </c>
      <c r="V304" s="44">
        <v>2000</v>
      </c>
      <c r="W304" s="36"/>
    </row>
    <row r="305" spans="1:23" ht="20.25" customHeight="1">
      <c r="A305" s="316"/>
      <c r="B305" s="312"/>
      <c r="C305" s="288" t="s">
        <v>145</v>
      </c>
      <c r="D305" s="37" t="s">
        <v>154</v>
      </c>
      <c r="E305" s="37" t="s">
        <v>154</v>
      </c>
      <c r="F305" s="37" t="s">
        <v>169</v>
      </c>
      <c r="G305" s="6"/>
      <c r="H305" s="37" t="s">
        <v>180</v>
      </c>
      <c r="I305" s="6"/>
      <c r="J305" s="6"/>
      <c r="K305" s="6"/>
      <c r="L305" s="6"/>
      <c r="M305" s="35">
        <v>0</v>
      </c>
      <c r="N305" s="35">
        <v>1114</v>
      </c>
      <c r="O305" s="146">
        <f>O306+O307</f>
        <v>1114</v>
      </c>
      <c r="P305" s="146"/>
      <c r="Q305" s="146">
        <v>0</v>
      </c>
      <c r="R305" s="146">
        <v>0</v>
      </c>
      <c r="S305" s="146">
        <v>0</v>
      </c>
      <c r="T305" s="146">
        <v>0</v>
      </c>
      <c r="U305" s="146">
        <v>0</v>
      </c>
      <c r="V305" s="146">
        <v>0</v>
      </c>
      <c r="W305" s="36"/>
    </row>
    <row r="306" spans="1:23" ht="22.5" customHeight="1">
      <c r="A306" s="316"/>
      <c r="B306" s="312"/>
      <c r="C306" s="312"/>
      <c r="D306" s="37" t="s">
        <v>154</v>
      </c>
      <c r="E306" s="37" t="s">
        <v>154</v>
      </c>
      <c r="F306" s="37" t="s">
        <v>169</v>
      </c>
      <c r="G306" s="37" t="s">
        <v>174</v>
      </c>
      <c r="H306" s="37" t="s">
        <v>180</v>
      </c>
      <c r="I306" s="37" t="s">
        <v>187</v>
      </c>
      <c r="J306" s="37" t="s">
        <v>190</v>
      </c>
      <c r="K306" s="37" t="s">
        <v>91</v>
      </c>
      <c r="L306" s="37" t="s">
        <v>92</v>
      </c>
      <c r="M306" s="35"/>
      <c r="N306" s="35"/>
      <c r="O306" s="44">
        <v>914</v>
      </c>
      <c r="P306" s="44"/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36"/>
    </row>
    <row r="307" spans="1:23" ht="24" customHeight="1">
      <c r="A307" s="316"/>
      <c r="B307" s="312"/>
      <c r="C307" s="312"/>
      <c r="D307" s="37" t="s">
        <v>154</v>
      </c>
      <c r="E307" s="37" t="s">
        <v>154</v>
      </c>
      <c r="F307" s="37" t="s">
        <v>169</v>
      </c>
      <c r="G307" s="37" t="s">
        <v>190</v>
      </c>
      <c r="H307" s="37" t="s">
        <v>180</v>
      </c>
      <c r="I307" s="37" t="s">
        <v>187</v>
      </c>
      <c r="J307" s="37" t="s">
        <v>190</v>
      </c>
      <c r="K307" s="37" t="s">
        <v>91</v>
      </c>
      <c r="L307" s="37" t="s">
        <v>394</v>
      </c>
      <c r="M307" s="35"/>
      <c r="N307" s="35"/>
      <c r="O307" s="44">
        <v>200</v>
      </c>
      <c r="P307" s="44"/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36"/>
    </row>
    <row r="308" spans="1:23" ht="32.25" customHeight="1">
      <c r="A308" s="316"/>
      <c r="B308" s="312"/>
      <c r="C308" s="19" t="s">
        <v>151</v>
      </c>
      <c r="D308" s="37" t="s">
        <v>154</v>
      </c>
      <c r="E308" s="37" t="s">
        <v>154</v>
      </c>
      <c r="F308" s="37" t="s">
        <v>169</v>
      </c>
      <c r="G308" s="37" t="s">
        <v>191</v>
      </c>
      <c r="H308" s="37" t="s">
        <v>189</v>
      </c>
      <c r="I308" s="37" t="s">
        <v>155</v>
      </c>
      <c r="J308" s="37" t="s">
        <v>192</v>
      </c>
      <c r="K308" s="37" t="s">
        <v>91</v>
      </c>
      <c r="L308" s="37" t="s">
        <v>92</v>
      </c>
      <c r="M308" s="35">
        <v>0</v>
      </c>
      <c r="N308" s="35">
        <v>1286</v>
      </c>
      <c r="O308" s="44">
        <v>500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36"/>
    </row>
    <row r="309" spans="1:23" ht="50.25" customHeight="1">
      <c r="A309" s="317"/>
      <c r="B309" s="289"/>
      <c r="C309" s="23" t="s">
        <v>114</v>
      </c>
      <c r="D309" s="37" t="s">
        <v>154</v>
      </c>
      <c r="E309" s="37" t="s">
        <v>154</v>
      </c>
      <c r="F309" s="37" t="s">
        <v>169</v>
      </c>
      <c r="G309" s="37" t="s">
        <v>159</v>
      </c>
      <c r="H309" s="37" t="s">
        <v>393</v>
      </c>
      <c r="I309" s="37" t="s">
        <v>190</v>
      </c>
      <c r="J309" s="37" t="s">
        <v>155</v>
      </c>
      <c r="K309" s="37" t="s">
        <v>91</v>
      </c>
      <c r="L309" s="37" t="s">
        <v>90</v>
      </c>
      <c r="M309" s="118">
        <v>0</v>
      </c>
      <c r="N309" s="118">
        <v>0</v>
      </c>
      <c r="O309" s="123">
        <v>1811.5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36"/>
    </row>
    <row r="310" spans="1:23" ht="58.5" customHeight="1">
      <c r="A310" s="315" t="s">
        <v>179</v>
      </c>
      <c r="B310" s="288" t="s">
        <v>605</v>
      </c>
      <c r="C310" s="288" t="s">
        <v>145</v>
      </c>
      <c r="D310" s="37" t="s">
        <v>154</v>
      </c>
      <c r="E310" s="37" t="s">
        <v>154</v>
      </c>
      <c r="F310" s="37" t="s">
        <v>169</v>
      </c>
      <c r="G310" s="37" t="s">
        <v>181</v>
      </c>
      <c r="H310" s="37" t="s">
        <v>180</v>
      </c>
      <c r="I310" s="37" t="s">
        <v>187</v>
      </c>
      <c r="J310" s="37" t="s">
        <v>190</v>
      </c>
      <c r="K310" s="37"/>
      <c r="L310" s="37"/>
      <c r="M310" s="118"/>
      <c r="N310" s="118"/>
      <c r="O310" s="123">
        <f>O311</f>
        <v>0</v>
      </c>
      <c r="P310" s="123">
        <f aca="true" t="shared" si="61" ref="P310:V310">P311</f>
        <v>1114</v>
      </c>
      <c r="Q310" s="123">
        <f t="shared" si="61"/>
        <v>1114</v>
      </c>
      <c r="R310" s="123">
        <f t="shared" si="61"/>
        <v>1114</v>
      </c>
      <c r="S310" s="123">
        <f t="shared" si="61"/>
        <v>1114</v>
      </c>
      <c r="T310" s="123">
        <f t="shared" si="61"/>
        <v>1114</v>
      </c>
      <c r="U310" s="123">
        <f t="shared" si="61"/>
        <v>1114</v>
      </c>
      <c r="V310" s="123">
        <f t="shared" si="61"/>
        <v>1114</v>
      </c>
      <c r="W310" s="36"/>
    </row>
    <row r="311" spans="1:23" ht="87" customHeight="1">
      <c r="A311" s="317"/>
      <c r="B311" s="289"/>
      <c r="C311" s="289"/>
      <c r="D311" s="37" t="s">
        <v>154</v>
      </c>
      <c r="E311" s="37" t="s">
        <v>154</v>
      </c>
      <c r="F311" s="37" t="s">
        <v>169</v>
      </c>
      <c r="G311" s="37" t="s">
        <v>181</v>
      </c>
      <c r="H311" s="37" t="s">
        <v>180</v>
      </c>
      <c r="I311" s="37" t="s">
        <v>187</v>
      </c>
      <c r="J311" s="37" t="s">
        <v>190</v>
      </c>
      <c r="K311" s="37" t="s">
        <v>404</v>
      </c>
      <c r="L311" s="37" t="s">
        <v>92</v>
      </c>
      <c r="M311" s="35"/>
      <c r="N311" s="35"/>
      <c r="O311" s="44">
        <v>0</v>
      </c>
      <c r="P311" s="44">
        <v>1114</v>
      </c>
      <c r="Q311" s="44">
        <v>1114</v>
      </c>
      <c r="R311" s="44">
        <v>1114</v>
      </c>
      <c r="S311" s="44">
        <v>1114</v>
      </c>
      <c r="T311" s="44">
        <v>1114</v>
      </c>
      <c r="U311" s="44">
        <v>1114</v>
      </c>
      <c r="V311" s="44">
        <v>1114</v>
      </c>
      <c r="W311" s="36"/>
    </row>
    <row r="312" spans="1:23" ht="68.25" customHeight="1">
      <c r="A312" s="85" t="s">
        <v>179</v>
      </c>
      <c r="B312" s="19" t="s">
        <v>520</v>
      </c>
      <c r="C312" s="19" t="s">
        <v>177</v>
      </c>
      <c r="D312" s="37" t="s">
        <v>154</v>
      </c>
      <c r="E312" s="37" t="s">
        <v>154</v>
      </c>
      <c r="F312" s="37" t="s">
        <v>186</v>
      </c>
      <c r="G312" s="37" t="s">
        <v>155</v>
      </c>
      <c r="H312" s="37" t="s">
        <v>157</v>
      </c>
      <c r="I312" s="37"/>
      <c r="J312" s="37"/>
      <c r="K312" s="37"/>
      <c r="L312" s="37"/>
      <c r="M312" s="6"/>
      <c r="N312" s="6"/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36"/>
    </row>
    <row r="313" spans="1:23" s="119" customFormat="1" ht="27.75" customHeight="1">
      <c r="A313" s="315" t="s">
        <v>179</v>
      </c>
      <c r="B313" s="288" t="s">
        <v>212</v>
      </c>
      <c r="C313" s="326" t="s">
        <v>136</v>
      </c>
      <c r="D313" s="37" t="s">
        <v>154</v>
      </c>
      <c r="E313" s="37" t="s">
        <v>155</v>
      </c>
      <c r="F313" s="37" t="s">
        <v>431</v>
      </c>
      <c r="G313" s="37"/>
      <c r="H313" s="37"/>
      <c r="I313" s="37"/>
      <c r="J313" s="37"/>
      <c r="K313" s="37"/>
      <c r="L313" s="37"/>
      <c r="M313" s="35"/>
      <c r="N313" s="35"/>
      <c r="O313" s="44">
        <f>O314+O315</f>
        <v>129.1</v>
      </c>
      <c r="P313" s="44">
        <f>P315</f>
        <v>129</v>
      </c>
      <c r="Q313" s="44">
        <f aca="true" t="shared" si="62" ref="Q313:V313">Q314+Q315</f>
        <v>0</v>
      </c>
      <c r="R313" s="44">
        <f t="shared" si="62"/>
        <v>0</v>
      </c>
      <c r="S313" s="44">
        <f t="shared" si="62"/>
        <v>0</v>
      </c>
      <c r="T313" s="44">
        <f t="shared" si="62"/>
        <v>0</v>
      </c>
      <c r="U313" s="44">
        <f t="shared" si="62"/>
        <v>0</v>
      </c>
      <c r="V313" s="44">
        <f t="shared" si="62"/>
        <v>0</v>
      </c>
      <c r="W313" s="36"/>
    </row>
    <row r="314" spans="1:23" s="119" customFormat="1" ht="47.25" customHeight="1">
      <c r="A314" s="316"/>
      <c r="B314" s="312"/>
      <c r="C314" s="327"/>
      <c r="D314" s="37" t="s">
        <v>154</v>
      </c>
      <c r="E314" s="37" t="s">
        <v>155</v>
      </c>
      <c r="F314" s="37" t="s">
        <v>431</v>
      </c>
      <c r="G314" s="37" t="s">
        <v>155</v>
      </c>
      <c r="H314" s="37" t="s">
        <v>173</v>
      </c>
      <c r="I314" s="37" t="s">
        <v>158</v>
      </c>
      <c r="J314" s="37" t="s">
        <v>174</v>
      </c>
      <c r="K314" s="37" t="s">
        <v>213</v>
      </c>
      <c r="L314" s="37" t="s">
        <v>92</v>
      </c>
      <c r="M314" s="35"/>
      <c r="N314" s="35"/>
      <c r="O314" s="123">
        <v>129.1</v>
      </c>
      <c r="P314" s="123"/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36"/>
    </row>
    <row r="315" spans="1:23" s="119" customFormat="1" ht="63.75" customHeight="1">
      <c r="A315" s="317"/>
      <c r="B315" s="289"/>
      <c r="C315" s="328"/>
      <c r="D315" s="37" t="s">
        <v>154</v>
      </c>
      <c r="E315" s="37" t="s">
        <v>155</v>
      </c>
      <c r="F315" s="37" t="s">
        <v>431</v>
      </c>
      <c r="G315" s="37" t="s">
        <v>154</v>
      </c>
      <c r="H315" s="37" t="s">
        <v>173</v>
      </c>
      <c r="I315" s="37" t="s">
        <v>158</v>
      </c>
      <c r="J315" s="37" t="s">
        <v>174</v>
      </c>
      <c r="K315" s="37" t="s">
        <v>427</v>
      </c>
      <c r="L315" s="37" t="s">
        <v>92</v>
      </c>
      <c r="M315" s="35"/>
      <c r="N315" s="35"/>
      <c r="O315" s="123">
        <v>0</v>
      </c>
      <c r="P315" s="123">
        <v>129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36"/>
    </row>
  </sheetData>
  <sheetProtection/>
  <mergeCells count="107">
    <mergeCell ref="B269:B276"/>
    <mergeCell ref="C269:C276"/>
    <mergeCell ref="F10:F11"/>
    <mergeCell ref="B195:B200"/>
    <mergeCell ref="C195:C200"/>
    <mergeCell ref="A182:A185"/>
    <mergeCell ref="B182:B185"/>
    <mergeCell ref="C182:C185"/>
    <mergeCell ref="A186:A194"/>
    <mergeCell ref="B186:B194"/>
    <mergeCell ref="A12:A33"/>
    <mergeCell ref="A245:A246"/>
    <mergeCell ref="B245:B246"/>
    <mergeCell ref="C245:C246"/>
    <mergeCell ref="C222:C227"/>
    <mergeCell ref="C128:C140"/>
    <mergeCell ref="C151:C174"/>
    <mergeCell ref="C231:C234"/>
    <mergeCell ref="E10:E11"/>
    <mergeCell ref="H10:H11"/>
    <mergeCell ref="A231:A234"/>
    <mergeCell ref="B231:B234"/>
    <mergeCell ref="B12:B33"/>
    <mergeCell ref="A241:A242"/>
    <mergeCell ref="C201:C219"/>
    <mergeCell ref="C86:C100"/>
    <mergeCell ref="C241:C242"/>
    <mergeCell ref="B222:B227"/>
    <mergeCell ref="T3:V3"/>
    <mergeCell ref="A9:A11"/>
    <mergeCell ref="B9:B11"/>
    <mergeCell ref="C9:C11"/>
    <mergeCell ref="D9:G9"/>
    <mergeCell ref="H9:L9"/>
    <mergeCell ref="D10:D11"/>
    <mergeCell ref="K10:K11"/>
    <mergeCell ref="M9:V9"/>
    <mergeCell ref="L10:L11"/>
    <mergeCell ref="C313:C315"/>
    <mergeCell ref="A123:A126"/>
    <mergeCell ref="B34:B53"/>
    <mergeCell ref="C34:C53"/>
    <mergeCell ref="A101:A122"/>
    <mergeCell ref="B101:B122"/>
    <mergeCell ref="A34:A53"/>
    <mergeCell ref="A71:A85"/>
    <mergeCell ref="C71:C85"/>
    <mergeCell ref="A220:A221"/>
    <mergeCell ref="I10:I11"/>
    <mergeCell ref="J10:J11"/>
    <mergeCell ref="G10:G11"/>
    <mergeCell ref="A86:A100"/>
    <mergeCell ref="A54:A70"/>
    <mergeCell ref="A247:A268"/>
    <mergeCell ref="B247:B268"/>
    <mergeCell ref="A237:A240"/>
    <mergeCell ref="B237:B240"/>
    <mergeCell ref="C237:C240"/>
    <mergeCell ref="B296:B309"/>
    <mergeCell ref="C148:C150"/>
    <mergeCell ref="A269:A276"/>
    <mergeCell ref="C305:C307"/>
    <mergeCell ref="A280:A288"/>
    <mergeCell ref="B280:B288"/>
    <mergeCell ref="A151:A181"/>
    <mergeCell ref="B151:B181"/>
    <mergeCell ref="C177:C180"/>
    <mergeCell ref="C296:C304"/>
    <mergeCell ref="A313:A315"/>
    <mergeCell ref="B313:B315"/>
    <mergeCell ref="B220:B221"/>
    <mergeCell ref="C220:C221"/>
    <mergeCell ref="A148:A150"/>
    <mergeCell ref="B148:B150"/>
    <mergeCell ref="A222:A227"/>
    <mergeCell ref="A201:A219"/>
    <mergeCell ref="B201:B219"/>
    <mergeCell ref="B241:B242"/>
    <mergeCell ref="A243:A244"/>
    <mergeCell ref="C123:C126"/>
    <mergeCell ref="B54:B70"/>
    <mergeCell ref="C54:C70"/>
    <mergeCell ref="B71:B85"/>
    <mergeCell ref="B123:B126"/>
    <mergeCell ref="C141:C143"/>
    <mergeCell ref="C186:C194"/>
    <mergeCell ref="A195:A200"/>
    <mergeCell ref="C289:C290"/>
    <mergeCell ref="A128:A144"/>
    <mergeCell ref="B128:B144"/>
    <mergeCell ref="B86:B100"/>
    <mergeCell ref="C310:C311"/>
    <mergeCell ref="A310:A311"/>
    <mergeCell ref="B310:B311"/>
    <mergeCell ref="A235:A236"/>
    <mergeCell ref="B235:B236"/>
    <mergeCell ref="C235:C236"/>
    <mergeCell ref="C280:C288"/>
    <mergeCell ref="B243:B244"/>
    <mergeCell ref="C243:C244"/>
    <mergeCell ref="A296:A309"/>
    <mergeCell ref="A289:A295"/>
    <mergeCell ref="B289:B295"/>
    <mergeCell ref="A277:A279"/>
    <mergeCell ref="B277:B279"/>
    <mergeCell ref="C277:C279"/>
    <mergeCell ref="C291:C295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75" zoomScaleNormal="75" zoomScalePageLayoutView="0" workbookViewId="0" topLeftCell="C4">
      <pane xSplit="1" ySplit="7" topLeftCell="D11" activePane="bottomRight" state="frozen"/>
      <selection pane="topLeft" activeCell="C4" sqref="C4"/>
      <selection pane="topRight" activeCell="D4" sqref="D4"/>
      <selection pane="bottomLeft" activeCell="C11" sqref="C11"/>
      <selection pane="bottomRight" activeCell="H13" sqref="H13"/>
    </sheetView>
  </sheetViews>
  <sheetFormatPr defaultColWidth="9.00390625" defaultRowHeight="12.75"/>
  <cols>
    <col min="1" max="1" width="9.125" style="4" customWidth="1"/>
    <col min="2" max="2" width="24.00390625" style="4" customWidth="1"/>
    <col min="3" max="3" width="28.00390625" style="5" customWidth="1"/>
    <col min="4" max="4" width="24.00390625" style="33" customWidth="1"/>
    <col min="5" max="5" width="17.125" style="4" hidden="1" customWidth="1"/>
    <col min="6" max="6" width="18.875" style="4" hidden="1" customWidth="1"/>
    <col min="7" max="7" width="18.125" style="4" customWidth="1"/>
    <col min="8" max="8" width="18.25390625" style="4" customWidth="1"/>
    <col min="9" max="9" width="18.75390625" style="4" customWidth="1"/>
    <col min="10" max="10" width="18.25390625" style="4" customWidth="1"/>
    <col min="11" max="11" width="18.75390625" style="4" customWidth="1"/>
    <col min="12" max="12" width="19.625" style="4" customWidth="1"/>
    <col min="13" max="13" width="19.125" style="4" customWidth="1"/>
    <col min="14" max="14" width="16.75390625" style="4" customWidth="1"/>
    <col min="15" max="15" width="15.375" style="4" bestFit="1" customWidth="1"/>
    <col min="16" max="16" width="16.125" style="4" customWidth="1"/>
    <col min="17" max="16384" width="9.125" style="4" customWidth="1"/>
  </cols>
  <sheetData>
    <row r="1" spans="12:15" ht="15.75">
      <c r="L1" s="18"/>
      <c r="M1" s="18"/>
      <c r="N1" s="11" t="s">
        <v>195</v>
      </c>
      <c r="O1" s="7"/>
    </row>
    <row r="2" spans="12:14" ht="15.75">
      <c r="L2" s="11"/>
      <c r="M2" s="11"/>
      <c r="N2" s="11" t="s">
        <v>49</v>
      </c>
    </row>
    <row r="3" spans="12:16" ht="15.75">
      <c r="L3" s="343" t="s">
        <v>0</v>
      </c>
      <c r="M3" s="343"/>
      <c r="N3" s="343"/>
      <c r="O3" s="7"/>
      <c r="P3" s="7"/>
    </row>
    <row r="4" spans="12:14" ht="15.75">
      <c r="L4" s="18"/>
      <c r="M4" s="18"/>
      <c r="N4" s="11" t="s">
        <v>52</v>
      </c>
    </row>
    <row r="6" spans="5:8" ht="18.75">
      <c r="E6" s="38" t="s">
        <v>1</v>
      </c>
      <c r="H6" s="38" t="s">
        <v>1</v>
      </c>
    </row>
    <row r="8" spans="1:14" s="9" customFormat="1" ht="30" customHeight="1">
      <c r="A8" s="344" t="s">
        <v>10</v>
      </c>
      <c r="B8" s="345" t="s">
        <v>118</v>
      </c>
      <c r="C8" s="345" t="s">
        <v>119</v>
      </c>
      <c r="D8" s="333" t="s">
        <v>2</v>
      </c>
      <c r="E8" s="345" t="s">
        <v>3</v>
      </c>
      <c r="F8" s="346"/>
      <c r="G8" s="346"/>
      <c r="H8" s="346"/>
      <c r="I8" s="346"/>
      <c r="J8" s="346"/>
      <c r="K8" s="346"/>
      <c r="L8" s="346"/>
      <c r="M8" s="346"/>
      <c r="N8" s="346"/>
    </row>
    <row r="9" spans="1:14" s="9" customFormat="1" ht="15">
      <c r="A9" s="344"/>
      <c r="B9" s="346"/>
      <c r="C9" s="346"/>
      <c r="D9" s="334"/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</row>
    <row r="10" spans="1:14" s="9" customFormat="1" ht="39" customHeight="1">
      <c r="A10" s="344"/>
      <c r="B10" s="347"/>
      <c r="C10" s="347"/>
      <c r="D10" s="323"/>
      <c r="E10" s="39" t="s">
        <v>21</v>
      </c>
      <c r="F10" s="39" t="s">
        <v>22</v>
      </c>
      <c r="G10" s="39" t="s">
        <v>23</v>
      </c>
      <c r="H10" s="39" t="s">
        <v>23</v>
      </c>
      <c r="I10" s="39" t="s">
        <v>23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</row>
    <row r="11" spans="1:16" ht="17.25" customHeight="1">
      <c r="A11" s="339"/>
      <c r="B11" s="340" t="s">
        <v>133</v>
      </c>
      <c r="C11" s="340" t="s">
        <v>134</v>
      </c>
      <c r="D11" s="21" t="s">
        <v>135</v>
      </c>
      <c r="E11" s="40">
        <f>E12+E13+E14+E15+E16</f>
        <v>5212678.32</v>
      </c>
      <c r="F11" s="40">
        <f aca="true" t="shared" si="0" ref="F11:N11">F12+F13+F14+F15+F16</f>
        <v>3359673.19</v>
      </c>
      <c r="G11" s="45">
        <f t="shared" si="0"/>
        <v>5051724.5600000005</v>
      </c>
      <c r="H11" s="45">
        <f t="shared" si="0"/>
        <v>2918614.8</v>
      </c>
      <c r="I11" s="45">
        <f t="shared" si="0"/>
        <v>2962206.8</v>
      </c>
      <c r="J11" s="45">
        <f t="shared" si="0"/>
        <v>3007020.5</v>
      </c>
      <c r="K11" s="45">
        <f t="shared" si="0"/>
        <v>3079144.25</v>
      </c>
      <c r="L11" s="45">
        <f t="shared" si="0"/>
        <v>3152680.0500000003</v>
      </c>
      <c r="M11" s="45">
        <f t="shared" si="0"/>
        <v>3230751.97</v>
      </c>
      <c r="N11" s="45">
        <f t="shared" si="0"/>
        <v>3306079.93</v>
      </c>
      <c r="O11" s="49">
        <f>SUM(G11:N11)</f>
        <v>26708222.86</v>
      </c>
      <c r="P11" s="50"/>
    </row>
    <row r="12" spans="1:16" ht="57" customHeight="1">
      <c r="A12" s="339"/>
      <c r="B12" s="340"/>
      <c r="C12" s="340"/>
      <c r="D12" s="14" t="s">
        <v>4</v>
      </c>
      <c r="E12" s="40">
        <f>E42+E48</f>
        <v>1261455.99</v>
      </c>
      <c r="F12" s="40">
        <f>F42+F48</f>
        <v>1144416.2</v>
      </c>
      <c r="G12" s="45">
        <f>G42+G48+G18+G24+G30+G36</f>
        <v>1329140.4</v>
      </c>
      <c r="H12" s="45">
        <f aca="true" t="shared" si="1" ref="H12:N12">H42+H48+H18+H24+H30+H36</f>
        <v>967109.5999999999</v>
      </c>
      <c r="I12" s="45">
        <f t="shared" si="1"/>
        <v>934050.7</v>
      </c>
      <c r="J12" s="45">
        <f>J42+J48+J18+J24+J30+J36</f>
        <v>944764.9</v>
      </c>
      <c r="K12" s="45">
        <f t="shared" si="1"/>
        <v>944764.9</v>
      </c>
      <c r="L12" s="45">
        <f t="shared" si="1"/>
        <v>944764.9</v>
      </c>
      <c r="M12" s="45">
        <f t="shared" si="1"/>
        <v>944764.9</v>
      </c>
      <c r="N12" s="45">
        <f t="shared" si="1"/>
        <v>944764.9</v>
      </c>
      <c r="O12" s="49">
        <f>SUM(G12:N12)</f>
        <v>7954125.200000001</v>
      </c>
      <c r="P12" s="49"/>
    </row>
    <row r="13" spans="1:16" ht="80.25" customHeight="1">
      <c r="A13" s="339"/>
      <c r="B13" s="340"/>
      <c r="C13" s="340"/>
      <c r="D13" s="14" t="s">
        <v>5</v>
      </c>
      <c r="E13" s="40">
        <f>E19+E25+E31+E37+E43+E49</f>
        <v>2192455.2</v>
      </c>
      <c r="F13" s="40">
        <f aca="true" t="shared" si="2" ref="F13:N14">F19+F25+F31+F37+F43+F49</f>
        <v>431568.14</v>
      </c>
      <c r="G13" s="45">
        <f t="shared" si="2"/>
        <v>1836841.3</v>
      </c>
      <c r="H13" s="45">
        <f t="shared" si="2"/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9">
        <f aca="true" t="shared" si="3" ref="O13:O52">SUM(G13:N13)</f>
        <v>1836841.3</v>
      </c>
      <c r="P13" s="49"/>
    </row>
    <row r="14" spans="1:16" ht="78.75">
      <c r="A14" s="339"/>
      <c r="B14" s="340"/>
      <c r="C14" s="340"/>
      <c r="D14" s="14" t="s">
        <v>6</v>
      </c>
      <c r="E14" s="41">
        <f>E20+E26+E32+E38+E44+E50</f>
        <v>0</v>
      </c>
      <c r="F14" s="41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0</v>
      </c>
      <c r="M14" s="46">
        <f t="shared" si="2"/>
        <v>0</v>
      </c>
      <c r="N14" s="46">
        <f t="shared" si="2"/>
        <v>0</v>
      </c>
      <c r="O14" s="49">
        <f t="shared" si="3"/>
        <v>0</v>
      </c>
      <c r="P14" s="50"/>
    </row>
    <row r="15" spans="1:15" ht="65.25" customHeight="1">
      <c r="A15" s="339"/>
      <c r="B15" s="340"/>
      <c r="C15" s="340"/>
      <c r="D15" s="14" t="s">
        <v>7</v>
      </c>
      <c r="E15" s="40">
        <f>E21+E33+E39+E45+E51</f>
        <v>27883.230000000003</v>
      </c>
      <c r="F15" s="40">
        <f aca="true" t="shared" si="4" ref="F15:N15">F21+F33+F39+F45+F51</f>
        <v>28973.85</v>
      </c>
      <c r="G15" s="45">
        <f t="shared" si="4"/>
        <v>19899.33</v>
      </c>
      <c r="H15" s="45">
        <f t="shared" si="4"/>
        <v>12581.3</v>
      </c>
      <c r="I15" s="45">
        <f t="shared" si="4"/>
        <v>12581.3</v>
      </c>
      <c r="J15" s="45">
        <f t="shared" si="4"/>
        <v>7350.3</v>
      </c>
      <c r="K15" s="45">
        <f t="shared" si="4"/>
        <v>7350.3</v>
      </c>
      <c r="L15" s="45">
        <f t="shared" si="4"/>
        <v>5850.3</v>
      </c>
      <c r="M15" s="45">
        <f t="shared" si="4"/>
        <v>5850.3</v>
      </c>
      <c r="N15" s="45">
        <f t="shared" si="4"/>
        <v>5850.3</v>
      </c>
      <c r="O15" s="49">
        <f t="shared" si="3"/>
        <v>77313.43000000001</v>
      </c>
    </row>
    <row r="16" spans="1:15" ht="26.25" customHeight="1">
      <c r="A16" s="339"/>
      <c r="B16" s="340"/>
      <c r="C16" s="340"/>
      <c r="D16" s="14" t="s">
        <v>8</v>
      </c>
      <c r="E16" s="40">
        <f>E22+E28+E34+E40+E46+E52</f>
        <v>1730883.9</v>
      </c>
      <c r="F16" s="40">
        <f aca="true" t="shared" si="5" ref="F16:N16">F22+F28+F34+F40+F46+F52</f>
        <v>1754715</v>
      </c>
      <c r="G16" s="45">
        <f t="shared" si="5"/>
        <v>1865843.53</v>
      </c>
      <c r="H16" s="45">
        <f t="shared" si="5"/>
        <v>1938923.9</v>
      </c>
      <c r="I16" s="45">
        <f t="shared" si="5"/>
        <v>2015574.8</v>
      </c>
      <c r="J16" s="45">
        <f t="shared" si="5"/>
        <v>2054905.3</v>
      </c>
      <c r="K16" s="45">
        <f t="shared" si="5"/>
        <v>2127029.05</v>
      </c>
      <c r="L16" s="45">
        <f t="shared" si="5"/>
        <v>2202064.85</v>
      </c>
      <c r="M16" s="45">
        <f t="shared" si="5"/>
        <v>2280136.77</v>
      </c>
      <c r="N16" s="45">
        <f t="shared" si="5"/>
        <v>2355464.73</v>
      </c>
      <c r="O16" s="49">
        <f t="shared" si="3"/>
        <v>16839942.929999996</v>
      </c>
    </row>
    <row r="17" spans="1:15" ht="21" customHeight="1">
      <c r="A17" s="339"/>
      <c r="B17" s="319" t="s">
        <v>152</v>
      </c>
      <c r="C17" s="341" t="s">
        <v>153</v>
      </c>
      <c r="D17" s="30" t="s">
        <v>135</v>
      </c>
      <c r="E17" s="42">
        <f>E18+E19+E20+E21+E22</f>
        <v>29652.2</v>
      </c>
      <c r="F17" s="42">
        <f aca="true" t="shared" si="6" ref="F17:N17">F18+F19+F20+F21+F22</f>
        <v>31159.6</v>
      </c>
      <c r="G17" s="47">
        <f t="shared" si="6"/>
        <v>35092.8</v>
      </c>
      <c r="H17" s="47">
        <f t="shared" si="6"/>
        <v>36146</v>
      </c>
      <c r="I17" s="47">
        <f t="shared" si="6"/>
        <v>37533.1</v>
      </c>
      <c r="J17" s="47">
        <f t="shared" si="6"/>
        <v>37862.6</v>
      </c>
      <c r="K17" s="47">
        <f t="shared" si="6"/>
        <v>37862.6</v>
      </c>
      <c r="L17" s="47">
        <f t="shared" si="6"/>
        <v>37862.6</v>
      </c>
      <c r="M17" s="47">
        <f t="shared" si="6"/>
        <v>37862.6</v>
      </c>
      <c r="N17" s="47">
        <f t="shared" si="6"/>
        <v>37862.6</v>
      </c>
      <c r="O17" s="49">
        <f t="shared" si="3"/>
        <v>298084.9</v>
      </c>
    </row>
    <row r="18" spans="1:15" ht="47.25">
      <c r="A18" s="339"/>
      <c r="B18" s="319"/>
      <c r="C18" s="341"/>
      <c r="D18" s="14" t="s">
        <v>4</v>
      </c>
      <c r="E18" s="40">
        <v>29652.2</v>
      </c>
      <c r="F18" s="40">
        <v>31159.6</v>
      </c>
      <c r="G18" s="44">
        <v>35092.8</v>
      </c>
      <c r="H18" s="44">
        <v>36146</v>
      </c>
      <c r="I18" s="44">
        <v>37533.1</v>
      </c>
      <c r="J18" s="44">
        <v>37862.6</v>
      </c>
      <c r="K18" s="44">
        <v>37862.6</v>
      </c>
      <c r="L18" s="44">
        <v>37862.6</v>
      </c>
      <c r="M18" s="44">
        <v>37862.6</v>
      </c>
      <c r="N18" s="44">
        <v>37862.6</v>
      </c>
      <c r="O18" s="49">
        <f t="shared" si="3"/>
        <v>298084.9</v>
      </c>
    </row>
    <row r="19" spans="1:15" ht="63">
      <c r="A19" s="339"/>
      <c r="B19" s="319"/>
      <c r="C19" s="341"/>
      <c r="D19" s="14" t="s">
        <v>5</v>
      </c>
      <c r="E19" s="40">
        <v>0</v>
      </c>
      <c r="F19" s="40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9">
        <f t="shared" si="3"/>
        <v>0</v>
      </c>
    </row>
    <row r="20" spans="1:15" ht="78.75">
      <c r="A20" s="339"/>
      <c r="B20" s="319"/>
      <c r="C20" s="341"/>
      <c r="D20" s="14" t="s">
        <v>6</v>
      </c>
      <c r="E20" s="40">
        <v>0</v>
      </c>
      <c r="F20" s="40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9">
        <f t="shared" si="3"/>
        <v>0</v>
      </c>
    </row>
    <row r="21" spans="1:15" ht="63">
      <c r="A21" s="339"/>
      <c r="B21" s="319"/>
      <c r="C21" s="341"/>
      <c r="D21" s="14" t="s">
        <v>7</v>
      </c>
      <c r="E21" s="40">
        <v>0</v>
      </c>
      <c r="F21" s="40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9">
        <f t="shared" si="3"/>
        <v>0</v>
      </c>
    </row>
    <row r="22" spans="1:15" ht="15.75">
      <c r="A22" s="339"/>
      <c r="B22" s="320"/>
      <c r="C22" s="342"/>
      <c r="D22" s="14" t="s">
        <v>8</v>
      </c>
      <c r="E22" s="40">
        <v>0</v>
      </c>
      <c r="F22" s="40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9">
        <f t="shared" si="3"/>
        <v>0</v>
      </c>
    </row>
    <row r="23" spans="1:15" ht="15" customHeight="1">
      <c r="A23" s="339"/>
      <c r="B23" s="288" t="s">
        <v>161</v>
      </c>
      <c r="C23" s="348" t="s">
        <v>162</v>
      </c>
      <c r="D23" s="21" t="s">
        <v>135</v>
      </c>
      <c r="E23" s="40">
        <f>E24+E25+E26+E27+E28</f>
        <v>6075.5</v>
      </c>
      <c r="F23" s="40">
        <f aca="true" t="shared" si="7" ref="F23:N23">F24+F25+F26+F27+F28</f>
        <v>6111.2</v>
      </c>
      <c r="G23" s="45">
        <f t="shared" si="7"/>
        <v>8194.9</v>
      </c>
      <c r="H23" s="45">
        <f t="shared" si="7"/>
        <v>9291.7</v>
      </c>
      <c r="I23" s="45">
        <f t="shared" si="7"/>
        <v>9641.6</v>
      </c>
      <c r="J23" s="45">
        <f t="shared" si="7"/>
        <v>9706.7</v>
      </c>
      <c r="K23" s="45">
        <f t="shared" si="7"/>
        <v>9706.7</v>
      </c>
      <c r="L23" s="45">
        <f t="shared" si="7"/>
        <v>9706.7</v>
      </c>
      <c r="M23" s="45">
        <f t="shared" si="7"/>
        <v>9706.7</v>
      </c>
      <c r="N23" s="45">
        <f t="shared" si="7"/>
        <v>9706.7</v>
      </c>
      <c r="O23" s="49">
        <f t="shared" si="3"/>
        <v>75661.69999999998</v>
      </c>
    </row>
    <row r="24" spans="1:15" ht="47.25">
      <c r="A24" s="339"/>
      <c r="B24" s="312"/>
      <c r="C24" s="341"/>
      <c r="D24" s="14" t="s">
        <v>4</v>
      </c>
      <c r="E24" s="40">
        <v>6075.5</v>
      </c>
      <c r="F24" s="40">
        <v>6111.2</v>
      </c>
      <c r="G24" s="44">
        <v>8194.9</v>
      </c>
      <c r="H24" s="44">
        <v>9291.7</v>
      </c>
      <c r="I24" s="44">
        <v>9641.6</v>
      </c>
      <c r="J24" s="44">
        <v>9706.7</v>
      </c>
      <c r="K24" s="44">
        <v>9706.7</v>
      </c>
      <c r="L24" s="44">
        <v>9706.7</v>
      </c>
      <c r="M24" s="44">
        <v>9706.7</v>
      </c>
      <c r="N24" s="44">
        <v>9706.7</v>
      </c>
      <c r="O24" s="49">
        <f t="shared" si="3"/>
        <v>75661.69999999998</v>
      </c>
    </row>
    <row r="25" spans="1:15" ht="63">
      <c r="A25" s="339"/>
      <c r="B25" s="312"/>
      <c r="C25" s="341"/>
      <c r="D25" s="14" t="s">
        <v>5</v>
      </c>
      <c r="E25" s="40">
        <v>0</v>
      </c>
      <c r="F25" s="40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9">
        <f t="shared" si="3"/>
        <v>0</v>
      </c>
    </row>
    <row r="26" spans="1:15" ht="78.75">
      <c r="A26" s="339"/>
      <c r="B26" s="312"/>
      <c r="C26" s="341"/>
      <c r="D26" s="14" t="s">
        <v>6</v>
      </c>
      <c r="E26" s="40">
        <v>0</v>
      </c>
      <c r="F26" s="40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9">
        <f t="shared" si="3"/>
        <v>0</v>
      </c>
    </row>
    <row r="27" spans="1:15" ht="63">
      <c r="A27" s="339"/>
      <c r="B27" s="312"/>
      <c r="C27" s="341"/>
      <c r="D27" s="14" t="s">
        <v>7</v>
      </c>
      <c r="E27" s="40">
        <v>0</v>
      </c>
      <c r="F27" s="40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9">
        <f t="shared" si="3"/>
        <v>0</v>
      </c>
    </row>
    <row r="28" spans="1:15" ht="15.75">
      <c r="A28" s="339"/>
      <c r="B28" s="289"/>
      <c r="C28" s="342"/>
      <c r="D28" s="14" t="s">
        <v>8</v>
      </c>
      <c r="E28" s="40">
        <v>0</v>
      </c>
      <c r="F28" s="40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9">
        <f t="shared" si="3"/>
        <v>0</v>
      </c>
    </row>
    <row r="29" spans="1:15" ht="15" customHeight="1">
      <c r="A29" s="339"/>
      <c r="B29" s="348" t="s">
        <v>165</v>
      </c>
      <c r="C29" s="348" t="s">
        <v>166</v>
      </c>
      <c r="D29" s="21" t="s">
        <v>135</v>
      </c>
      <c r="E29" s="40">
        <f>E30+E31+E32+E33+E34</f>
        <v>2757</v>
      </c>
      <c r="F29" s="40">
        <f aca="true" t="shared" si="8" ref="F29:N29">F30+F31+F32+F33+F34</f>
        <v>4310</v>
      </c>
      <c r="G29" s="45">
        <f t="shared" si="8"/>
        <v>5125.7</v>
      </c>
      <c r="H29" s="45">
        <f t="shared" si="8"/>
        <v>5847</v>
      </c>
      <c r="I29" s="45">
        <f t="shared" si="8"/>
        <v>6061</v>
      </c>
      <c r="J29" s="45">
        <f t="shared" si="8"/>
        <v>6108.3</v>
      </c>
      <c r="K29" s="45">
        <f t="shared" si="8"/>
        <v>6108.3</v>
      </c>
      <c r="L29" s="45">
        <f t="shared" si="8"/>
        <v>6108.3</v>
      </c>
      <c r="M29" s="45">
        <f t="shared" si="8"/>
        <v>6108.3</v>
      </c>
      <c r="N29" s="45">
        <f t="shared" si="8"/>
        <v>6108.3</v>
      </c>
      <c r="O29" s="49">
        <f t="shared" si="3"/>
        <v>47575.200000000004</v>
      </c>
    </row>
    <row r="30" spans="1:15" ht="47.25">
      <c r="A30" s="339"/>
      <c r="B30" s="341"/>
      <c r="C30" s="341"/>
      <c r="D30" s="14" t="s">
        <v>4</v>
      </c>
      <c r="E30" s="43">
        <v>2757</v>
      </c>
      <c r="F30" s="43">
        <v>4310</v>
      </c>
      <c r="G30" s="44">
        <v>5125.7</v>
      </c>
      <c r="H30" s="44">
        <v>5847</v>
      </c>
      <c r="I30" s="44">
        <v>6061</v>
      </c>
      <c r="J30" s="44">
        <v>6108.3</v>
      </c>
      <c r="K30" s="44">
        <v>6108.3</v>
      </c>
      <c r="L30" s="44">
        <v>6108.3</v>
      </c>
      <c r="M30" s="44">
        <v>6108.3</v>
      </c>
      <c r="N30" s="44">
        <v>6108.3</v>
      </c>
      <c r="O30" s="49">
        <f t="shared" si="3"/>
        <v>47575.200000000004</v>
      </c>
    </row>
    <row r="31" spans="1:15" ht="63">
      <c r="A31" s="339"/>
      <c r="B31" s="341"/>
      <c r="C31" s="341"/>
      <c r="D31" s="14" t="s">
        <v>5</v>
      </c>
      <c r="E31" s="40">
        <v>0</v>
      </c>
      <c r="F31" s="40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9">
        <f t="shared" si="3"/>
        <v>0</v>
      </c>
    </row>
    <row r="32" spans="1:15" ht="78.75">
      <c r="A32" s="339"/>
      <c r="B32" s="341"/>
      <c r="C32" s="341"/>
      <c r="D32" s="14" t="s">
        <v>6</v>
      </c>
      <c r="E32" s="40">
        <v>0</v>
      </c>
      <c r="F32" s="40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9">
        <f t="shared" si="3"/>
        <v>0</v>
      </c>
    </row>
    <row r="33" spans="1:15" ht="63">
      <c r="A33" s="339"/>
      <c r="B33" s="341"/>
      <c r="C33" s="341"/>
      <c r="D33" s="14" t="s">
        <v>7</v>
      </c>
      <c r="E33" s="40">
        <v>0</v>
      </c>
      <c r="F33" s="40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9">
        <f t="shared" si="3"/>
        <v>0</v>
      </c>
    </row>
    <row r="34" spans="1:15" ht="15.75">
      <c r="A34" s="339"/>
      <c r="B34" s="342"/>
      <c r="C34" s="342"/>
      <c r="D34" s="14" t="s">
        <v>8</v>
      </c>
      <c r="E34" s="40">
        <v>0</v>
      </c>
      <c r="F34" s="40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9">
        <f t="shared" si="3"/>
        <v>0</v>
      </c>
    </row>
    <row r="35" spans="1:15" ht="18.75" customHeight="1">
      <c r="A35" s="339"/>
      <c r="B35" s="318" t="s">
        <v>170</v>
      </c>
      <c r="C35" s="348" t="s">
        <v>171</v>
      </c>
      <c r="D35" s="21" t="s">
        <v>135</v>
      </c>
      <c r="E35" s="43">
        <f>E36+E37+E38+E39+E40</f>
        <v>2879.5</v>
      </c>
      <c r="F35" s="43">
        <f aca="true" t="shared" si="9" ref="F35:N35">F36+F37+F38+F39+F40</f>
        <v>4163.2</v>
      </c>
      <c r="G35" s="48">
        <f t="shared" si="9"/>
        <v>5022.1</v>
      </c>
      <c r="H35" s="48">
        <f t="shared" si="9"/>
        <v>5321.2</v>
      </c>
      <c r="I35" s="48">
        <f t="shared" si="9"/>
        <v>5647.7</v>
      </c>
      <c r="J35" s="48">
        <f t="shared" si="9"/>
        <v>5695</v>
      </c>
      <c r="K35" s="48">
        <f t="shared" si="9"/>
        <v>5695</v>
      </c>
      <c r="L35" s="48">
        <f t="shared" si="9"/>
        <v>5695</v>
      </c>
      <c r="M35" s="48">
        <f t="shared" si="9"/>
        <v>5695</v>
      </c>
      <c r="N35" s="48">
        <f t="shared" si="9"/>
        <v>5695</v>
      </c>
      <c r="O35" s="49">
        <f t="shared" si="3"/>
        <v>44466</v>
      </c>
    </row>
    <row r="36" spans="1:15" ht="47.25">
      <c r="A36" s="339"/>
      <c r="B36" s="319"/>
      <c r="C36" s="341"/>
      <c r="D36" s="14" t="s">
        <v>4</v>
      </c>
      <c r="E36" s="43">
        <v>2879.5</v>
      </c>
      <c r="F36" s="43">
        <v>4163.2</v>
      </c>
      <c r="G36" s="120">
        <v>5022.1</v>
      </c>
      <c r="H36" s="120">
        <v>5321.2</v>
      </c>
      <c r="I36" s="120">
        <v>5647.7</v>
      </c>
      <c r="J36" s="120">
        <v>5695</v>
      </c>
      <c r="K36" s="120">
        <v>5695</v>
      </c>
      <c r="L36" s="120">
        <v>5695</v>
      </c>
      <c r="M36" s="120">
        <v>5695</v>
      </c>
      <c r="N36" s="120">
        <v>5695</v>
      </c>
      <c r="O36" s="49">
        <f t="shared" si="3"/>
        <v>44466</v>
      </c>
    </row>
    <row r="37" spans="1:15" ht="63">
      <c r="A37" s="339"/>
      <c r="B37" s="319"/>
      <c r="C37" s="341"/>
      <c r="D37" s="14" t="s">
        <v>5</v>
      </c>
      <c r="E37" s="40">
        <v>0</v>
      </c>
      <c r="F37" s="40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9">
        <f t="shared" si="3"/>
        <v>0</v>
      </c>
    </row>
    <row r="38" spans="1:15" ht="78.75">
      <c r="A38" s="339"/>
      <c r="B38" s="319"/>
      <c r="C38" s="341"/>
      <c r="D38" s="14" t="s">
        <v>6</v>
      </c>
      <c r="E38" s="40">
        <v>0</v>
      </c>
      <c r="F38" s="40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9">
        <f t="shared" si="3"/>
        <v>0</v>
      </c>
    </row>
    <row r="39" spans="1:15" ht="63">
      <c r="A39" s="339"/>
      <c r="B39" s="319"/>
      <c r="C39" s="341"/>
      <c r="D39" s="14" t="s">
        <v>7</v>
      </c>
      <c r="E39" s="40">
        <v>0</v>
      </c>
      <c r="F39" s="40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9">
        <f t="shared" si="3"/>
        <v>0</v>
      </c>
    </row>
    <row r="40" spans="1:15" ht="15.75">
      <c r="A40" s="339"/>
      <c r="B40" s="320"/>
      <c r="C40" s="342"/>
      <c r="D40" s="14" t="s">
        <v>8</v>
      </c>
      <c r="E40" s="40">
        <v>0</v>
      </c>
      <c r="F40" s="40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9">
        <f t="shared" si="3"/>
        <v>0</v>
      </c>
    </row>
    <row r="41" spans="1:15" ht="15.75" customHeight="1">
      <c r="A41" s="339"/>
      <c r="B41" s="340" t="s">
        <v>175</v>
      </c>
      <c r="C41" s="340" t="s">
        <v>176</v>
      </c>
      <c r="D41" s="21" t="s">
        <v>135</v>
      </c>
      <c r="E41" s="40">
        <f>E42+E43+E44+E45+E46</f>
        <v>2189390.34</v>
      </c>
      <c r="F41" s="40">
        <f aca="true" t="shared" si="10" ref="F41:N41">F42+F43+F44+F45+F46</f>
        <v>2529971.3200000003</v>
      </c>
      <c r="G41" s="45">
        <f t="shared" si="10"/>
        <v>2892692.79</v>
      </c>
      <c r="H41" s="45">
        <f t="shared" si="10"/>
        <v>2155334.9</v>
      </c>
      <c r="I41" s="45">
        <f t="shared" si="10"/>
        <v>2191641.6</v>
      </c>
      <c r="J41" s="45">
        <f t="shared" si="10"/>
        <v>2234564.1</v>
      </c>
      <c r="K41" s="45">
        <f t="shared" si="10"/>
        <v>2306687.8499999996</v>
      </c>
      <c r="L41" s="45">
        <f t="shared" si="10"/>
        <v>2380223.65</v>
      </c>
      <c r="M41" s="45">
        <f t="shared" si="10"/>
        <v>2458295.57</v>
      </c>
      <c r="N41" s="45">
        <f t="shared" si="10"/>
        <v>2533623.53</v>
      </c>
      <c r="O41" s="49">
        <f t="shared" si="3"/>
        <v>19153063.99</v>
      </c>
    </row>
    <row r="42" spans="1:15" ht="47.25">
      <c r="A42" s="339"/>
      <c r="B42" s="340"/>
      <c r="C42" s="340"/>
      <c r="D42" s="14" t="s">
        <v>4</v>
      </c>
      <c r="E42" s="40">
        <f>211824.89+E18+E24+E30+E36</f>
        <v>253189.09000000003</v>
      </c>
      <c r="F42" s="40">
        <f>278794.45+F18+F24+F30+F36</f>
        <v>324538.45</v>
      </c>
      <c r="G42" s="45">
        <v>451503</v>
      </c>
      <c r="H42" s="45">
        <v>204025.2</v>
      </c>
      <c r="I42" s="269">
        <v>163681</v>
      </c>
      <c r="J42" s="269">
        <v>172504</v>
      </c>
      <c r="K42" s="269">
        <v>172504</v>
      </c>
      <c r="L42" s="269">
        <v>172504</v>
      </c>
      <c r="M42" s="269">
        <v>172504</v>
      </c>
      <c r="N42" s="269">
        <v>172504</v>
      </c>
      <c r="O42" s="49">
        <f t="shared" si="3"/>
        <v>1681729.2</v>
      </c>
    </row>
    <row r="43" spans="1:15" ht="63">
      <c r="A43" s="339"/>
      <c r="B43" s="340"/>
      <c r="C43" s="340"/>
      <c r="D43" s="14" t="s">
        <v>5</v>
      </c>
      <c r="E43" s="40">
        <v>178185.2</v>
      </c>
      <c r="F43" s="40">
        <v>430823.39</v>
      </c>
      <c r="G43" s="45">
        <v>564506.3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9">
        <f t="shared" si="3"/>
        <v>564506.3</v>
      </c>
    </row>
    <row r="44" spans="1:15" ht="78.75">
      <c r="A44" s="339"/>
      <c r="B44" s="340"/>
      <c r="C44" s="340"/>
      <c r="D44" s="14" t="s">
        <v>6</v>
      </c>
      <c r="E44" s="40">
        <v>0</v>
      </c>
      <c r="F44" s="40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9">
        <f t="shared" si="3"/>
        <v>0</v>
      </c>
    </row>
    <row r="45" spans="1:15" ht="75" customHeight="1">
      <c r="A45" s="339"/>
      <c r="B45" s="340"/>
      <c r="C45" s="340"/>
      <c r="D45" s="14" t="s">
        <v>7</v>
      </c>
      <c r="E45" s="268">
        <v>27132.15</v>
      </c>
      <c r="F45" s="268">
        <v>19894.48</v>
      </c>
      <c r="G45" s="269">
        <v>10839.96</v>
      </c>
      <c r="H45" s="269">
        <v>12385.8</v>
      </c>
      <c r="I45" s="269">
        <v>12385.8</v>
      </c>
      <c r="J45" s="269">
        <v>7154.8</v>
      </c>
      <c r="K45" s="269">
        <v>7154.8</v>
      </c>
      <c r="L45" s="269">
        <v>5654.8</v>
      </c>
      <c r="M45" s="269">
        <v>5654.8</v>
      </c>
      <c r="N45" s="269">
        <v>5654.8</v>
      </c>
      <c r="O45" s="49">
        <f t="shared" si="3"/>
        <v>66885.56000000001</v>
      </c>
    </row>
    <row r="46" spans="1:15" ht="24" customHeight="1">
      <c r="A46" s="339"/>
      <c r="B46" s="340"/>
      <c r="C46" s="340"/>
      <c r="D46" s="14" t="s">
        <v>8</v>
      </c>
      <c r="E46" s="40">
        <v>1730883.9</v>
      </c>
      <c r="F46" s="40">
        <v>1754715</v>
      </c>
      <c r="G46" s="45">
        <v>1865843.53</v>
      </c>
      <c r="H46" s="45">
        <v>1938923.9</v>
      </c>
      <c r="I46" s="45">
        <v>2015574.8</v>
      </c>
      <c r="J46" s="45">
        <v>2054905.3</v>
      </c>
      <c r="K46" s="45">
        <v>2127029.05</v>
      </c>
      <c r="L46" s="45">
        <v>2202064.85</v>
      </c>
      <c r="M46" s="45">
        <v>2280136.77</v>
      </c>
      <c r="N46" s="45">
        <v>2355464.73</v>
      </c>
      <c r="O46" s="49">
        <f t="shared" si="3"/>
        <v>16839942.929999996</v>
      </c>
    </row>
    <row r="47" spans="1:15" ht="16.5" customHeight="1">
      <c r="A47" s="339"/>
      <c r="B47" s="340" t="s">
        <v>193</v>
      </c>
      <c r="C47" s="340" t="s">
        <v>194</v>
      </c>
      <c r="D47" s="21" t="s">
        <v>135</v>
      </c>
      <c r="E47" s="40">
        <f>E48+E49+E50+E51+E52</f>
        <v>3023287.98</v>
      </c>
      <c r="F47" s="40">
        <f aca="true" t="shared" si="11" ref="F47:N47">F48+F49+F50+F51+F52</f>
        <v>829701.87</v>
      </c>
      <c r="G47" s="45">
        <f t="shared" si="11"/>
        <v>2105596.27</v>
      </c>
      <c r="H47" s="45">
        <f t="shared" si="11"/>
        <v>706674</v>
      </c>
      <c r="I47" s="45">
        <f t="shared" si="11"/>
        <v>711681.8</v>
      </c>
      <c r="J47" s="45">
        <f t="shared" si="11"/>
        <v>713083.8</v>
      </c>
      <c r="K47" s="45">
        <f t="shared" si="11"/>
        <v>713083.8</v>
      </c>
      <c r="L47" s="45">
        <f t="shared" si="11"/>
        <v>713083.8</v>
      </c>
      <c r="M47" s="45">
        <f t="shared" si="11"/>
        <v>713083.8</v>
      </c>
      <c r="N47" s="45">
        <f t="shared" si="11"/>
        <v>713083.8</v>
      </c>
      <c r="O47" s="49">
        <f t="shared" si="3"/>
        <v>7089371.069999999</v>
      </c>
    </row>
    <row r="48" spans="1:15" ht="47.25">
      <c r="A48" s="339"/>
      <c r="B48" s="340"/>
      <c r="C48" s="340"/>
      <c r="D48" s="14" t="s">
        <v>4</v>
      </c>
      <c r="E48" s="40">
        <v>1008266.9</v>
      </c>
      <c r="F48" s="40">
        <v>819877.75</v>
      </c>
      <c r="G48" s="45">
        <v>824201.9</v>
      </c>
      <c r="H48" s="45">
        <v>706478.5</v>
      </c>
      <c r="I48" s="45">
        <v>711486.3</v>
      </c>
      <c r="J48" s="45">
        <v>712888.3</v>
      </c>
      <c r="K48" s="45">
        <v>712888.3</v>
      </c>
      <c r="L48" s="45">
        <v>712888.3</v>
      </c>
      <c r="M48" s="45">
        <v>712888.3</v>
      </c>
      <c r="N48" s="45">
        <v>712888.3</v>
      </c>
      <c r="O48" s="49">
        <f t="shared" si="3"/>
        <v>5806608.199999999</v>
      </c>
    </row>
    <row r="49" spans="1:15" ht="63">
      <c r="A49" s="339"/>
      <c r="B49" s="340"/>
      <c r="C49" s="340"/>
      <c r="D49" s="14" t="s">
        <v>5</v>
      </c>
      <c r="E49" s="40">
        <v>2014270</v>
      </c>
      <c r="F49" s="40">
        <v>744.75</v>
      </c>
      <c r="G49" s="45">
        <v>1272335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9">
        <f t="shared" si="3"/>
        <v>1272335</v>
      </c>
    </row>
    <row r="50" spans="1:15" ht="78.75">
      <c r="A50" s="339"/>
      <c r="B50" s="340"/>
      <c r="C50" s="340"/>
      <c r="D50" s="14" t="s">
        <v>6</v>
      </c>
      <c r="E50" s="40">
        <v>0</v>
      </c>
      <c r="F50" s="40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9">
        <f t="shared" si="3"/>
        <v>0</v>
      </c>
    </row>
    <row r="51" spans="1:15" ht="63">
      <c r="A51" s="339"/>
      <c r="B51" s="340"/>
      <c r="C51" s="340"/>
      <c r="D51" s="14" t="s">
        <v>7</v>
      </c>
      <c r="E51" s="268">
        <v>751.08</v>
      </c>
      <c r="F51" s="268">
        <v>9079.37</v>
      </c>
      <c r="G51" s="269">
        <v>9059.37</v>
      </c>
      <c r="H51" s="269">
        <f>131.8+52.6+11.1</f>
        <v>195.5</v>
      </c>
      <c r="I51" s="269">
        <f aca="true" t="shared" si="12" ref="I51:N51">131.8+52.6+11.1</f>
        <v>195.5</v>
      </c>
      <c r="J51" s="269">
        <f t="shared" si="12"/>
        <v>195.5</v>
      </c>
      <c r="K51" s="269">
        <f t="shared" si="12"/>
        <v>195.5</v>
      </c>
      <c r="L51" s="269">
        <f t="shared" si="12"/>
        <v>195.5</v>
      </c>
      <c r="M51" s="269">
        <f t="shared" si="12"/>
        <v>195.5</v>
      </c>
      <c r="N51" s="269">
        <f t="shared" si="12"/>
        <v>195.5</v>
      </c>
      <c r="O51" s="49">
        <f t="shared" si="3"/>
        <v>10427.87</v>
      </c>
    </row>
    <row r="52" spans="1:15" ht="15.75">
      <c r="A52" s="339"/>
      <c r="B52" s="340"/>
      <c r="C52" s="340"/>
      <c r="D52" s="14" t="s">
        <v>8</v>
      </c>
      <c r="E52" s="40">
        <v>0</v>
      </c>
      <c r="F52" s="40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9">
        <f t="shared" si="3"/>
        <v>0</v>
      </c>
    </row>
  </sheetData>
  <sheetProtection/>
  <mergeCells count="27">
    <mergeCell ref="A47:A52"/>
    <mergeCell ref="B47:B52"/>
    <mergeCell ref="C47:C52"/>
    <mergeCell ref="A23:A28"/>
    <mergeCell ref="B23:B28"/>
    <mergeCell ref="C23:C28"/>
    <mergeCell ref="A29:A34"/>
    <mergeCell ref="B29:B34"/>
    <mergeCell ref="C29:C34"/>
    <mergeCell ref="C35:C40"/>
    <mergeCell ref="B11:B16"/>
    <mergeCell ref="L3:N3"/>
    <mergeCell ref="A8:A10"/>
    <mergeCell ref="B8:B10"/>
    <mergeCell ref="C8:C10"/>
    <mergeCell ref="D8:D10"/>
    <mergeCell ref="E8:N8"/>
    <mergeCell ref="A41:A46"/>
    <mergeCell ref="B41:B46"/>
    <mergeCell ref="C41:C46"/>
    <mergeCell ref="A35:A40"/>
    <mergeCell ref="B35:B40"/>
    <mergeCell ref="C11:C16"/>
    <mergeCell ref="A17:A22"/>
    <mergeCell ref="B17:B22"/>
    <mergeCell ref="C17:C22"/>
    <mergeCell ref="A11:A16"/>
  </mergeCells>
  <printOptions/>
  <pageMargins left="0.75" right="0.75" top="1" bottom="1" header="0.5" footer="0.5"/>
  <pageSetup fitToHeight="4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7"/>
  <sheetViews>
    <sheetView zoomScale="70" zoomScaleNormal="7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13" sqref="H13"/>
    </sheetView>
  </sheetViews>
  <sheetFormatPr defaultColWidth="9.00390625" defaultRowHeight="12.75"/>
  <cols>
    <col min="1" max="1" width="3.00390625" style="4" customWidth="1"/>
    <col min="2" max="2" width="20.75390625" style="5" customWidth="1"/>
    <col min="3" max="3" width="24.00390625" style="33" customWidth="1"/>
    <col min="4" max="4" width="9.625" style="5" customWidth="1"/>
    <col min="5" max="5" width="19.125" style="10" hidden="1" customWidth="1"/>
    <col min="6" max="6" width="22.375" style="10" hidden="1" customWidth="1"/>
    <col min="7" max="7" width="20.25390625" style="10" customWidth="1"/>
    <col min="8" max="8" width="17.375" style="10" customWidth="1"/>
    <col min="9" max="9" width="18.00390625" style="10" customWidth="1"/>
    <col min="10" max="10" width="17.25390625" style="10" customWidth="1"/>
    <col min="11" max="11" width="16.25390625" style="10" customWidth="1"/>
    <col min="12" max="12" width="16.75390625" style="10" customWidth="1"/>
    <col min="13" max="13" width="18.00390625" style="10" customWidth="1"/>
    <col min="14" max="14" width="17.25390625" style="10" customWidth="1"/>
    <col min="15" max="15" width="17.875" style="4" bestFit="1" customWidth="1"/>
    <col min="16" max="16" width="4.375" style="4" customWidth="1"/>
    <col min="17" max="17" width="13.00390625" style="4" bestFit="1" customWidth="1"/>
    <col min="18" max="16384" width="9.125" style="4" customWidth="1"/>
  </cols>
  <sheetData>
    <row r="1" spans="2:4" s="10" customFormat="1" ht="12.75">
      <c r="B1" s="33"/>
      <c r="C1" s="33"/>
      <c r="D1" s="33"/>
    </row>
    <row r="2" spans="2:6" s="10" customFormat="1" ht="14.25">
      <c r="B2" s="33"/>
      <c r="C2" s="33"/>
      <c r="D2" s="33"/>
      <c r="F2" s="125" t="s">
        <v>117</v>
      </c>
    </row>
    <row r="3" spans="2:4" s="10" customFormat="1" ht="12.75">
      <c r="B3" s="33"/>
      <c r="C3" s="33"/>
      <c r="D3" s="33"/>
    </row>
    <row r="4" spans="1:14" ht="13.5" customHeight="1">
      <c r="A4" s="349" t="s">
        <v>436</v>
      </c>
      <c r="B4" s="349"/>
      <c r="C4" s="350" t="s">
        <v>437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ht="14.25" customHeight="1">
      <c r="A5" s="349" t="s">
        <v>438</v>
      </c>
      <c r="B5" s="349"/>
      <c r="C5" s="352" t="s">
        <v>9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6" spans="1:14" s="9" customFormat="1" ht="30" customHeight="1">
      <c r="A6" s="345" t="s">
        <v>118</v>
      </c>
      <c r="B6" s="345" t="s">
        <v>119</v>
      </c>
      <c r="C6" s="333" t="s">
        <v>120</v>
      </c>
      <c r="D6" s="354" t="s">
        <v>2</v>
      </c>
      <c r="E6" s="333" t="s">
        <v>123</v>
      </c>
      <c r="F6" s="334"/>
      <c r="G6" s="334"/>
      <c r="H6" s="334"/>
      <c r="I6" s="334"/>
      <c r="J6" s="334"/>
      <c r="K6" s="334"/>
      <c r="L6" s="334"/>
      <c r="M6" s="334"/>
      <c r="N6" s="334"/>
    </row>
    <row r="7" spans="1:14" s="9" customFormat="1" ht="15">
      <c r="A7" s="346"/>
      <c r="B7" s="346"/>
      <c r="C7" s="334"/>
      <c r="D7" s="355"/>
      <c r="E7" s="147" t="s">
        <v>11</v>
      </c>
      <c r="F7" s="147" t="s">
        <v>12</v>
      </c>
      <c r="G7" s="147" t="s">
        <v>13</v>
      </c>
      <c r="H7" s="147" t="s">
        <v>14</v>
      </c>
      <c r="I7" s="147" t="s">
        <v>15</v>
      </c>
      <c r="J7" s="147" t="s">
        <v>16</v>
      </c>
      <c r="K7" s="147" t="s">
        <v>17</v>
      </c>
      <c r="L7" s="147" t="s">
        <v>18</v>
      </c>
      <c r="M7" s="147" t="s">
        <v>19</v>
      </c>
      <c r="N7" s="147" t="s">
        <v>20</v>
      </c>
    </row>
    <row r="8" spans="1:14" s="9" customFormat="1" ht="15">
      <c r="A8" s="346"/>
      <c r="B8" s="346"/>
      <c r="C8" s="334"/>
      <c r="D8" s="356"/>
      <c r="E8" s="147" t="s">
        <v>21</v>
      </c>
      <c r="F8" s="147" t="s">
        <v>22</v>
      </c>
      <c r="G8" s="147" t="s">
        <v>23</v>
      </c>
      <c r="H8" s="147" t="s">
        <v>23</v>
      </c>
      <c r="I8" s="147" t="s">
        <v>23</v>
      </c>
      <c r="J8" s="147" t="s">
        <v>23</v>
      </c>
      <c r="K8" s="147" t="s">
        <v>23</v>
      </c>
      <c r="L8" s="147" t="s">
        <v>23</v>
      </c>
      <c r="M8" s="147" t="s">
        <v>23</v>
      </c>
      <c r="N8" s="147" t="s">
        <v>23</v>
      </c>
    </row>
    <row r="9" spans="1:17" s="9" customFormat="1" ht="15.75">
      <c r="A9" s="347"/>
      <c r="B9" s="347"/>
      <c r="C9" s="323"/>
      <c r="D9" s="148" t="s">
        <v>135</v>
      </c>
      <c r="E9" s="149">
        <f>E10+E11+E12+E13</f>
        <v>5098766.5557</v>
      </c>
      <c r="F9" s="149">
        <f aca="true" t="shared" si="0" ref="F9:N9">F10+F11+F12+F13</f>
        <v>3224322.7399999998</v>
      </c>
      <c r="G9" s="150">
        <f t="shared" si="0"/>
        <v>3147650.7</v>
      </c>
      <c r="H9" s="150">
        <f t="shared" si="0"/>
        <v>1225454.3</v>
      </c>
      <c r="I9" s="150">
        <f>I10+I11+I12+I13</f>
        <v>1247004.8</v>
      </c>
      <c r="J9" s="151">
        <f>J10+J11+J12+J13</f>
        <v>1088079.9000000001</v>
      </c>
      <c r="K9" s="151">
        <f t="shared" si="0"/>
        <v>1088079.9000000001</v>
      </c>
      <c r="L9" s="151">
        <f t="shared" si="0"/>
        <v>1088079.9000000001</v>
      </c>
      <c r="M9" s="151">
        <f t="shared" si="0"/>
        <v>1088079.9000000001</v>
      </c>
      <c r="N9" s="151">
        <f t="shared" si="0"/>
        <v>1088079.9000000001</v>
      </c>
      <c r="O9" s="152">
        <f>SUM(G9:N9)</f>
        <v>11060509.3</v>
      </c>
      <c r="Q9" s="153"/>
    </row>
    <row r="10" spans="1:15" s="9" customFormat="1" ht="15.75">
      <c r="A10" s="357"/>
      <c r="B10" s="357"/>
      <c r="C10" s="359"/>
      <c r="D10" s="148" t="s">
        <v>439</v>
      </c>
      <c r="E10" s="149">
        <f aca="true" t="shared" si="1" ref="E10:N10">E41+E183</f>
        <v>2192455.2</v>
      </c>
      <c r="F10" s="149">
        <f t="shared" si="1"/>
        <v>431568.141</v>
      </c>
      <c r="G10" s="150">
        <f>G41+G183</f>
        <v>1812628.8</v>
      </c>
      <c r="H10" s="150">
        <f t="shared" si="1"/>
        <v>83080</v>
      </c>
      <c r="I10" s="150">
        <f t="shared" si="1"/>
        <v>118810</v>
      </c>
      <c r="J10" s="150">
        <f t="shared" si="1"/>
        <v>0</v>
      </c>
      <c r="K10" s="150">
        <f t="shared" si="1"/>
        <v>0</v>
      </c>
      <c r="L10" s="150">
        <f t="shared" si="1"/>
        <v>0</v>
      </c>
      <c r="M10" s="150">
        <f t="shared" si="1"/>
        <v>0</v>
      </c>
      <c r="N10" s="150">
        <f t="shared" si="1"/>
        <v>0</v>
      </c>
      <c r="O10" s="153">
        <f aca="true" t="shared" si="2" ref="O10:O78">SUM(G10:N10)</f>
        <v>2014518.8</v>
      </c>
    </row>
    <row r="11" spans="1:15" s="9" customFormat="1" ht="15.75">
      <c r="A11" s="357"/>
      <c r="B11" s="357"/>
      <c r="C11" s="359"/>
      <c r="D11" s="148" t="s">
        <v>440</v>
      </c>
      <c r="E11" s="149">
        <f aca="true" t="shared" si="3" ref="E11:N11">E36+E37+E38+E39+E42+E184</f>
        <v>1261455.9849999999</v>
      </c>
      <c r="F11" s="149">
        <f t="shared" si="3"/>
        <v>1144416.1979999999</v>
      </c>
      <c r="G11" s="150">
        <f>G36+G37+G38+G39+G42+G184</f>
        <v>1335021.9</v>
      </c>
      <c r="H11" s="150">
        <f t="shared" si="3"/>
        <v>1142374.3</v>
      </c>
      <c r="I11" s="150">
        <f t="shared" si="3"/>
        <v>1128194.8</v>
      </c>
      <c r="J11" s="150">
        <f t="shared" si="3"/>
        <v>1088079.9000000001</v>
      </c>
      <c r="K11" s="150">
        <f t="shared" si="3"/>
        <v>1088079.9000000001</v>
      </c>
      <c r="L11" s="150">
        <f t="shared" si="3"/>
        <v>1088079.9000000001</v>
      </c>
      <c r="M11" s="150">
        <f t="shared" si="3"/>
        <v>1088079.9000000001</v>
      </c>
      <c r="N11" s="150">
        <f t="shared" si="3"/>
        <v>1088079.9000000001</v>
      </c>
      <c r="O11" s="153">
        <f t="shared" si="2"/>
        <v>9045990.500000002</v>
      </c>
    </row>
    <row r="12" spans="1:15" s="9" customFormat="1" ht="15.75">
      <c r="A12" s="357"/>
      <c r="B12" s="357"/>
      <c r="C12" s="359"/>
      <c r="D12" s="148" t="s">
        <v>441</v>
      </c>
      <c r="E12" s="149">
        <f aca="true" t="shared" si="4" ref="E12:N12">E43+E185</f>
        <v>14083.6227</v>
      </c>
      <c r="F12" s="149">
        <f t="shared" si="4"/>
        <v>15618.608</v>
      </c>
      <c r="G12" s="150">
        <f t="shared" si="4"/>
        <v>0</v>
      </c>
      <c r="H12" s="150">
        <f t="shared" si="4"/>
        <v>0</v>
      </c>
      <c r="I12" s="150">
        <f t="shared" si="4"/>
        <v>0</v>
      </c>
      <c r="J12" s="150">
        <f t="shared" si="4"/>
        <v>0</v>
      </c>
      <c r="K12" s="150">
        <f t="shared" si="4"/>
        <v>0</v>
      </c>
      <c r="L12" s="150">
        <f t="shared" si="4"/>
        <v>0</v>
      </c>
      <c r="M12" s="150">
        <f t="shared" si="4"/>
        <v>0</v>
      </c>
      <c r="N12" s="150">
        <f t="shared" si="4"/>
        <v>0</v>
      </c>
      <c r="O12" s="153">
        <f t="shared" si="2"/>
        <v>0</v>
      </c>
    </row>
    <row r="13" spans="1:15" s="9" customFormat="1" ht="15.75">
      <c r="A13" s="358"/>
      <c r="B13" s="358"/>
      <c r="C13" s="324"/>
      <c r="D13" s="148" t="s">
        <v>442</v>
      </c>
      <c r="E13" s="149">
        <f>E44</f>
        <v>1630771.748</v>
      </c>
      <c r="F13" s="149">
        <f aca="true" t="shared" si="5" ref="F13:N13">F44</f>
        <v>1632719.7929999998</v>
      </c>
      <c r="G13" s="150">
        <f t="shared" si="5"/>
        <v>0</v>
      </c>
      <c r="H13" s="150">
        <f t="shared" si="5"/>
        <v>0</v>
      </c>
      <c r="I13" s="150">
        <f t="shared" si="5"/>
        <v>0</v>
      </c>
      <c r="J13" s="150">
        <f t="shared" si="5"/>
        <v>0</v>
      </c>
      <c r="K13" s="150">
        <f t="shared" si="5"/>
        <v>0</v>
      </c>
      <c r="L13" s="150">
        <f t="shared" si="5"/>
        <v>0</v>
      </c>
      <c r="M13" s="150">
        <f t="shared" si="5"/>
        <v>0</v>
      </c>
      <c r="N13" s="150">
        <f t="shared" si="5"/>
        <v>0</v>
      </c>
      <c r="O13" s="153">
        <f t="shared" si="2"/>
        <v>0</v>
      </c>
    </row>
    <row r="14" spans="1:15" s="158" customFormat="1" ht="17.25" customHeight="1">
      <c r="A14" s="360" t="s">
        <v>133</v>
      </c>
      <c r="B14" s="361" t="s">
        <v>134</v>
      </c>
      <c r="C14" s="154" t="s">
        <v>135</v>
      </c>
      <c r="D14" s="155"/>
      <c r="E14" s="156">
        <f aca="true" t="shared" si="6" ref="E14:N14">SUM(E15:E35)</f>
        <v>1261455.985</v>
      </c>
      <c r="F14" s="156">
        <f t="shared" si="6"/>
        <v>1154495.5680000002</v>
      </c>
      <c r="G14" s="157">
        <f>SUM(G15:G35)</f>
        <v>3149462.1999999997</v>
      </c>
      <c r="H14" s="157">
        <f t="shared" si="6"/>
        <v>1225454.2999999998</v>
      </c>
      <c r="I14" s="157">
        <f t="shared" si="6"/>
        <v>1247004.8</v>
      </c>
      <c r="J14" s="157">
        <f t="shared" si="6"/>
        <v>1088079.9000000001</v>
      </c>
      <c r="K14" s="157">
        <f t="shared" si="6"/>
        <v>1088079.9000000001</v>
      </c>
      <c r="L14" s="157">
        <f t="shared" si="6"/>
        <v>1088079.9000000001</v>
      </c>
      <c r="M14" s="157">
        <f t="shared" si="6"/>
        <v>1088079.9000000001</v>
      </c>
      <c r="N14" s="157">
        <f t="shared" si="6"/>
        <v>1088079.9000000001</v>
      </c>
      <c r="O14" s="153">
        <f t="shared" si="2"/>
        <v>11062320.8</v>
      </c>
    </row>
    <row r="15" spans="1:15" ht="77.25" customHeight="1">
      <c r="A15" s="360"/>
      <c r="B15" s="361"/>
      <c r="C15" s="159" t="s">
        <v>136</v>
      </c>
      <c r="D15" s="160"/>
      <c r="E15" s="156">
        <f aca="true" t="shared" si="7" ref="E15:N15">E39+E47+E188</f>
        <v>2879.5</v>
      </c>
      <c r="F15" s="156">
        <f t="shared" si="7"/>
        <v>4163.2</v>
      </c>
      <c r="G15" s="157">
        <f t="shared" si="7"/>
        <v>5151.200000000001</v>
      </c>
      <c r="H15" s="157">
        <f t="shared" si="7"/>
        <v>5450.2</v>
      </c>
      <c r="I15" s="157">
        <f t="shared" si="7"/>
        <v>5647.7</v>
      </c>
      <c r="J15" s="157">
        <f t="shared" si="7"/>
        <v>5695</v>
      </c>
      <c r="K15" s="157">
        <f t="shared" si="7"/>
        <v>5695</v>
      </c>
      <c r="L15" s="157">
        <f t="shared" si="7"/>
        <v>5695</v>
      </c>
      <c r="M15" s="157">
        <f t="shared" si="7"/>
        <v>5695</v>
      </c>
      <c r="N15" s="157">
        <f t="shared" si="7"/>
        <v>5695</v>
      </c>
      <c r="O15" s="153">
        <f t="shared" si="2"/>
        <v>44724.100000000006</v>
      </c>
    </row>
    <row r="16" spans="1:15" ht="45">
      <c r="A16" s="360"/>
      <c r="B16" s="361"/>
      <c r="C16" s="159" t="s">
        <v>137</v>
      </c>
      <c r="D16" s="161"/>
      <c r="E16" s="162">
        <f aca="true" t="shared" si="8" ref="E16:N16">E48+E189</f>
        <v>346.6</v>
      </c>
      <c r="F16" s="162">
        <f t="shared" si="8"/>
        <v>0</v>
      </c>
      <c r="G16" s="163">
        <f t="shared" si="8"/>
        <v>0</v>
      </c>
      <c r="H16" s="163">
        <f t="shared" si="8"/>
        <v>0</v>
      </c>
      <c r="I16" s="163">
        <f t="shared" si="8"/>
        <v>0</v>
      </c>
      <c r="J16" s="163">
        <f t="shared" si="8"/>
        <v>0</v>
      </c>
      <c r="K16" s="163">
        <f t="shared" si="8"/>
        <v>0</v>
      </c>
      <c r="L16" s="163">
        <f t="shared" si="8"/>
        <v>0</v>
      </c>
      <c r="M16" s="163">
        <f t="shared" si="8"/>
        <v>0</v>
      </c>
      <c r="N16" s="163">
        <f t="shared" si="8"/>
        <v>0</v>
      </c>
      <c r="O16" s="153">
        <f t="shared" si="2"/>
        <v>0</v>
      </c>
    </row>
    <row r="17" spans="1:15" ht="48" customHeight="1">
      <c r="A17" s="360"/>
      <c r="B17" s="361"/>
      <c r="C17" s="159" t="s">
        <v>138</v>
      </c>
      <c r="D17" s="160"/>
      <c r="E17" s="156">
        <f aca="true" t="shared" si="9" ref="E17:N17">E49+E190</f>
        <v>0</v>
      </c>
      <c r="F17" s="156">
        <f t="shared" si="9"/>
        <v>0</v>
      </c>
      <c r="G17" s="157">
        <f t="shared" si="9"/>
        <v>0</v>
      </c>
      <c r="H17" s="157">
        <f t="shared" si="9"/>
        <v>0</v>
      </c>
      <c r="I17" s="157">
        <f t="shared" si="9"/>
        <v>0</v>
      </c>
      <c r="J17" s="157">
        <f t="shared" si="9"/>
        <v>0</v>
      </c>
      <c r="K17" s="157">
        <f t="shared" si="9"/>
        <v>0</v>
      </c>
      <c r="L17" s="157">
        <f t="shared" si="9"/>
        <v>0</v>
      </c>
      <c r="M17" s="157">
        <f t="shared" si="9"/>
        <v>0</v>
      </c>
      <c r="N17" s="157">
        <f t="shared" si="9"/>
        <v>0</v>
      </c>
      <c r="O17" s="153">
        <f t="shared" si="2"/>
        <v>0</v>
      </c>
    </row>
    <row r="18" spans="1:15" ht="45" customHeight="1">
      <c r="A18" s="360"/>
      <c r="B18" s="361"/>
      <c r="C18" s="159" t="s">
        <v>139</v>
      </c>
      <c r="D18" s="160"/>
      <c r="E18" s="156">
        <f aca="true" t="shared" si="10" ref="E18:N18">E50+E191</f>
        <v>0</v>
      </c>
      <c r="F18" s="156">
        <f t="shared" si="10"/>
        <v>0</v>
      </c>
      <c r="G18" s="157">
        <f t="shared" si="10"/>
        <v>0</v>
      </c>
      <c r="H18" s="157">
        <f t="shared" si="10"/>
        <v>0</v>
      </c>
      <c r="I18" s="157">
        <f t="shared" si="10"/>
        <v>0</v>
      </c>
      <c r="J18" s="157">
        <f t="shared" si="10"/>
        <v>0</v>
      </c>
      <c r="K18" s="157">
        <f t="shared" si="10"/>
        <v>0</v>
      </c>
      <c r="L18" s="157">
        <f t="shared" si="10"/>
        <v>0</v>
      </c>
      <c r="M18" s="157">
        <f t="shared" si="10"/>
        <v>0</v>
      </c>
      <c r="N18" s="157">
        <f t="shared" si="10"/>
        <v>0</v>
      </c>
      <c r="O18" s="153">
        <f t="shared" si="2"/>
        <v>0</v>
      </c>
    </row>
    <row r="19" spans="1:15" ht="75">
      <c r="A19" s="360"/>
      <c r="B19" s="361"/>
      <c r="C19" s="159" t="s">
        <v>140</v>
      </c>
      <c r="D19" s="160"/>
      <c r="E19" s="156">
        <f aca="true" t="shared" si="11" ref="E19:N19">E51+E192</f>
        <v>0</v>
      </c>
      <c r="F19" s="156">
        <f t="shared" si="11"/>
        <v>0</v>
      </c>
      <c r="G19" s="157">
        <f t="shared" si="11"/>
        <v>0</v>
      </c>
      <c r="H19" s="157">
        <f t="shared" si="11"/>
        <v>0</v>
      </c>
      <c r="I19" s="157">
        <f t="shared" si="11"/>
        <v>0</v>
      </c>
      <c r="J19" s="157">
        <f t="shared" si="11"/>
        <v>0</v>
      </c>
      <c r="K19" s="157">
        <f t="shared" si="11"/>
        <v>0</v>
      </c>
      <c r="L19" s="157">
        <f t="shared" si="11"/>
        <v>0</v>
      </c>
      <c r="M19" s="157">
        <f t="shared" si="11"/>
        <v>0</v>
      </c>
      <c r="N19" s="157">
        <f t="shared" si="11"/>
        <v>0</v>
      </c>
      <c r="O19" s="153">
        <f t="shared" si="2"/>
        <v>0</v>
      </c>
    </row>
    <row r="20" spans="1:15" ht="30">
      <c r="A20" s="360"/>
      <c r="B20" s="361"/>
      <c r="C20" s="159" t="s">
        <v>60</v>
      </c>
      <c r="D20" s="160"/>
      <c r="E20" s="156">
        <f>E37+E50+E191</f>
        <v>6075.5</v>
      </c>
      <c r="F20" s="156">
        <f>F37+F50+F191</f>
        <v>6111.2</v>
      </c>
      <c r="G20" s="157">
        <f>G37+G52+G191</f>
        <v>11194.9</v>
      </c>
      <c r="H20" s="157">
        <f aca="true" t="shared" si="12" ref="H20:N20">H37+H50+H191</f>
        <v>9291.7</v>
      </c>
      <c r="I20" s="157">
        <f t="shared" si="12"/>
        <v>9641.6</v>
      </c>
      <c r="J20" s="157">
        <f t="shared" si="12"/>
        <v>9706.7</v>
      </c>
      <c r="K20" s="157">
        <f t="shared" si="12"/>
        <v>9706.7</v>
      </c>
      <c r="L20" s="157">
        <f t="shared" si="12"/>
        <v>9706.7</v>
      </c>
      <c r="M20" s="157">
        <f t="shared" si="12"/>
        <v>9706.7</v>
      </c>
      <c r="N20" s="157">
        <f t="shared" si="12"/>
        <v>9706.7</v>
      </c>
      <c r="O20" s="153">
        <f t="shared" si="2"/>
        <v>78661.69999999998</v>
      </c>
    </row>
    <row r="21" spans="1:15" ht="45">
      <c r="A21" s="360"/>
      <c r="B21" s="361"/>
      <c r="C21" s="159" t="s">
        <v>141</v>
      </c>
      <c r="D21" s="160"/>
      <c r="E21" s="156">
        <f aca="true" t="shared" si="13" ref="E21:N21">E53+E194</f>
        <v>480</v>
      </c>
      <c r="F21" s="156">
        <f t="shared" si="13"/>
        <v>0</v>
      </c>
      <c r="G21" s="157">
        <f t="shared" si="13"/>
        <v>0</v>
      </c>
      <c r="H21" s="157">
        <f t="shared" si="13"/>
        <v>0</v>
      </c>
      <c r="I21" s="157">
        <f t="shared" si="13"/>
        <v>0</v>
      </c>
      <c r="J21" s="157">
        <f t="shared" si="13"/>
        <v>0</v>
      </c>
      <c r="K21" s="157">
        <f t="shared" si="13"/>
        <v>0</v>
      </c>
      <c r="L21" s="157">
        <f t="shared" si="13"/>
        <v>0</v>
      </c>
      <c r="M21" s="157">
        <f t="shared" si="13"/>
        <v>0</v>
      </c>
      <c r="N21" s="157">
        <f t="shared" si="13"/>
        <v>0</v>
      </c>
      <c r="O21" s="153">
        <f t="shared" si="2"/>
        <v>0</v>
      </c>
    </row>
    <row r="22" spans="1:15" ht="45">
      <c r="A22" s="360"/>
      <c r="B22" s="361"/>
      <c r="C22" s="159" t="s">
        <v>114</v>
      </c>
      <c r="D22" s="160"/>
      <c r="E22" s="156">
        <f aca="true" t="shared" si="14" ref="E22:N22">E55+E196</f>
        <v>1314.4</v>
      </c>
      <c r="F22" s="156">
        <f t="shared" si="14"/>
        <v>1221.8</v>
      </c>
      <c r="G22" s="157">
        <f t="shared" si="14"/>
        <v>1811.5</v>
      </c>
      <c r="H22" s="157">
        <f t="shared" si="14"/>
        <v>0</v>
      </c>
      <c r="I22" s="157">
        <f t="shared" si="14"/>
        <v>0</v>
      </c>
      <c r="J22" s="157">
        <f t="shared" si="14"/>
        <v>0</v>
      </c>
      <c r="K22" s="157">
        <f t="shared" si="14"/>
        <v>0</v>
      </c>
      <c r="L22" s="157">
        <f t="shared" si="14"/>
        <v>0</v>
      </c>
      <c r="M22" s="157">
        <f t="shared" si="14"/>
        <v>0</v>
      </c>
      <c r="N22" s="157">
        <f t="shared" si="14"/>
        <v>0</v>
      </c>
      <c r="O22" s="153">
        <f t="shared" si="2"/>
        <v>1811.5</v>
      </c>
    </row>
    <row r="23" spans="1:15" ht="60">
      <c r="A23" s="360"/>
      <c r="B23" s="361"/>
      <c r="C23" s="159" t="s">
        <v>142</v>
      </c>
      <c r="D23" s="160"/>
      <c r="E23" s="156">
        <f aca="true" t="shared" si="15" ref="E23:N23">E56+E197</f>
        <v>30000</v>
      </c>
      <c r="F23" s="156">
        <f t="shared" si="15"/>
        <v>0</v>
      </c>
      <c r="G23" s="157">
        <f t="shared" si="15"/>
        <v>14850</v>
      </c>
      <c r="H23" s="157">
        <f t="shared" si="15"/>
        <v>0</v>
      </c>
      <c r="I23" s="157">
        <f t="shared" si="15"/>
        <v>0</v>
      </c>
      <c r="J23" s="157">
        <f t="shared" si="15"/>
        <v>0</v>
      </c>
      <c r="K23" s="157">
        <f t="shared" si="15"/>
        <v>0</v>
      </c>
      <c r="L23" s="157">
        <f t="shared" si="15"/>
        <v>0</v>
      </c>
      <c r="M23" s="157">
        <f t="shared" si="15"/>
        <v>0</v>
      </c>
      <c r="N23" s="157">
        <f t="shared" si="15"/>
        <v>0</v>
      </c>
      <c r="O23" s="153">
        <f t="shared" si="2"/>
        <v>14850</v>
      </c>
    </row>
    <row r="24" spans="1:15" ht="30">
      <c r="A24" s="360"/>
      <c r="B24" s="361"/>
      <c r="C24" s="159" t="s">
        <v>143</v>
      </c>
      <c r="D24" s="160"/>
      <c r="E24" s="156">
        <f aca="true" t="shared" si="16" ref="E24:N24">E57+E198</f>
        <v>47.5</v>
      </c>
      <c r="F24" s="156">
        <f t="shared" si="16"/>
        <v>0</v>
      </c>
      <c r="G24" s="157">
        <f t="shared" si="16"/>
        <v>0</v>
      </c>
      <c r="H24" s="157">
        <f t="shared" si="16"/>
        <v>0</v>
      </c>
      <c r="I24" s="157">
        <f t="shared" si="16"/>
        <v>0</v>
      </c>
      <c r="J24" s="157">
        <f t="shared" si="16"/>
        <v>0</v>
      </c>
      <c r="K24" s="157">
        <f t="shared" si="16"/>
        <v>0</v>
      </c>
      <c r="L24" s="157">
        <f t="shared" si="16"/>
        <v>0</v>
      </c>
      <c r="M24" s="157">
        <f t="shared" si="16"/>
        <v>0</v>
      </c>
      <c r="N24" s="157">
        <f t="shared" si="16"/>
        <v>0</v>
      </c>
      <c r="O24" s="153">
        <f t="shared" si="2"/>
        <v>0</v>
      </c>
    </row>
    <row r="25" spans="1:15" ht="45">
      <c r="A25" s="360"/>
      <c r="B25" s="361"/>
      <c r="C25" s="159" t="s">
        <v>144</v>
      </c>
      <c r="D25" s="160"/>
      <c r="E25" s="156">
        <f aca="true" t="shared" si="17" ref="E25:N25">E58+E199</f>
        <v>143.1</v>
      </c>
      <c r="F25" s="156">
        <f t="shared" si="17"/>
        <v>0</v>
      </c>
      <c r="G25" s="157">
        <f t="shared" si="17"/>
        <v>0</v>
      </c>
      <c r="H25" s="157">
        <f t="shared" si="17"/>
        <v>0</v>
      </c>
      <c r="I25" s="157">
        <f t="shared" si="17"/>
        <v>0</v>
      </c>
      <c r="J25" s="157">
        <f t="shared" si="17"/>
        <v>0</v>
      </c>
      <c r="K25" s="157">
        <f t="shared" si="17"/>
        <v>0</v>
      </c>
      <c r="L25" s="157">
        <f t="shared" si="17"/>
        <v>0</v>
      </c>
      <c r="M25" s="157">
        <f t="shared" si="17"/>
        <v>0</v>
      </c>
      <c r="N25" s="157">
        <f t="shared" si="17"/>
        <v>0</v>
      </c>
      <c r="O25" s="153">
        <f t="shared" si="2"/>
        <v>0</v>
      </c>
    </row>
    <row r="26" spans="1:15" ht="60">
      <c r="A26" s="360"/>
      <c r="B26" s="361"/>
      <c r="C26" s="159" t="s">
        <v>145</v>
      </c>
      <c r="D26" s="160"/>
      <c r="E26" s="156">
        <f>E60+E200</f>
        <v>10640.499999999998</v>
      </c>
      <c r="F26" s="156">
        <f>F60+F200</f>
        <v>22306.248</v>
      </c>
      <c r="G26" s="157">
        <f aca="true" t="shared" si="18" ref="G26:N26">G59+G200</f>
        <v>19992.699999999997</v>
      </c>
      <c r="H26" s="157">
        <f t="shared" si="18"/>
        <v>9614</v>
      </c>
      <c r="I26" s="157">
        <f t="shared" si="18"/>
        <v>9614</v>
      </c>
      <c r="J26" s="157">
        <f t="shared" si="18"/>
        <v>9614</v>
      </c>
      <c r="K26" s="157">
        <f t="shared" si="18"/>
        <v>9614</v>
      </c>
      <c r="L26" s="157">
        <f t="shared" si="18"/>
        <v>9614</v>
      </c>
      <c r="M26" s="157">
        <f t="shared" si="18"/>
        <v>9614</v>
      </c>
      <c r="N26" s="157">
        <f t="shared" si="18"/>
        <v>9614</v>
      </c>
      <c r="O26" s="153">
        <f t="shared" si="2"/>
        <v>87290.7</v>
      </c>
    </row>
    <row r="27" spans="1:15" ht="45">
      <c r="A27" s="360"/>
      <c r="B27" s="361"/>
      <c r="C27" s="159" t="s">
        <v>9</v>
      </c>
      <c r="D27" s="160"/>
      <c r="E27" s="156">
        <f aca="true" t="shared" si="19" ref="E27:N27">E36+E45+E186</f>
        <v>1205382.7850000001</v>
      </c>
      <c r="F27" s="156">
        <f t="shared" si="19"/>
        <v>1079129.02</v>
      </c>
      <c r="G27" s="229">
        <f t="shared" si="19"/>
        <v>2948089.3</v>
      </c>
      <c r="H27" s="229">
        <f t="shared" si="19"/>
        <v>1049483.5</v>
      </c>
      <c r="I27" s="229">
        <f t="shared" si="19"/>
        <v>1085511.4</v>
      </c>
      <c r="J27" s="229">
        <f t="shared" si="19"/>
        <v>940965.9</v>
      </c>
      <c r="K27" s="229">
        <f t="shared" si="19"/>
        <v>940965.9</v>
      </c>
      <c r="L27" s="229">
        <f t="shared" si="19"/>
        <v>940965.9</v>
      </c>
      <c r="M27" s="229">
        <f t="shared" si="19"/>
        <v>940965.9</v>
      </c>
      <c r="N27" s="229">
        <f t="shared" si="19"/>
        <v>940965.9</v>
      </c>
      <c r="O27" s="153">
        <f t="shared" si="2"/>
        <v>9787913.700000001</v>
      </c>
    </row>
    <row r="28" spans="1:15" ht="45">
      <c r="A28" s="360"/>
      <c r="B28" s="361"/>
      <c r="C28" s="159" t="s">
        <v>146</v>
      </c>
      <c r="D28" s="160"/>
      <c r="E28" s="156">
        <f aca="true" t="shared" si="20" ref="E28:N28">E62+E201</f>
        <v>0</v>
      </c>
      <c r="F28" s="156">
        <f t="shared" si="20"/>
        <v>0</v>
      </c>
      <c r="G28" s="157">
        <f t="shared" si="20"/>
        <v>0</v>
      </c>
      <c r="H28" s="157">
        <f t="shared" si="20"/>
        <v>0</v>
      </c>
      <c r="I28" s="157">
        <f t="shared" si="20"/>
        <v>0</v>
      </c>
      <c r="J28" s="157">
        <f t="shared" si="20"/>
        <v>0</v>
      </c>
      <c r="K28" s="157">
        <f t="shared" si="20"/>
        <v>0</v>
      </c>
      <c r="L28" s="157">
        <f t="shared" si="20"/>
        <v>0</v>
      </c>
      <c r="M28" s="157">
        <f t="shared" si="20"/>
        <v>0</v>
      </c>
      <c r="N28" s="157">
        <f t="shared" si="20"/>
        <v>0</v>
      </c>
      <c r="O28" s="153">
        <f t="shared" si="2"/>
        <v>0</v>
      </c>
    </row>
    <row r="29" spans="1:15" ht="45">
      <c r="A29" s="360"/>
      <c r="B29" s="361"/>
      <c r="C29" s="159" t="s">
        <v>147</v>
      </c>
      <c r="D29" s="160"/>
      <c r="E29" s="156">
        <f aca="true" t="shared" si="21" ref="E29:N29">E63+E202</f>
        <v>371.2</v>
      </c>
      <c r="F29" s="156">
        <f t="shared" si="21"/>
        <v>4700</v>
      </c>
      <c r="G29" s="157">
        <f t="shared" si="21"/>
        <v>0</v>
      </c>
      <c r="H29" s="157">
        <f t="shared" si="21"/>
        <v>0</v>
      </c>
      <c r="I29" s="157">
        <f t="shared" si="21"/>
        <v>0</v>
      </c>
      <c r="J29" s="157">
        <f t="shared" si="21"/>
        <v>0</v>
      </c>
      <c r="K29" s="157">
        <f t="shared" si="21"/>
        <v>0</v>
      </c>
      <c r="L29" s="157">
        <f t="shared" si="21"/>
        <v>0</v>
      </c>
      <c r="M29" s="157">
        <f t="shared" si="21"/>
        <v>0</v>
      </c>
      <c r="N29" s="157">
        <f t="shared" si="21"/>
        <v>0</v>
      </c>
      <c r="O29" s="153">
        <f t="shared" si="2"/>
        <v>0</v>
      </c>
    </row>
    <row r="30" spans="1:15" ht="45">
      <c r="A30" s="360"/>
      <c r="B30" s="361"/>
      <c r="C30" s="159" t="s">
        <v>148</v>
      </c>
      <c r="D30" s="160"/>
      <c r="E30" s="156">
        <f aca="true" t="shared" si="22" ref="E30:N30">E64+E203</f>
        <v>0</v>
      </c>
      <c r="F30" s="156">
        <f t="shared" si="22"/>
        <v>0</v>
      </c>
      <c r="G30" s="157">
        <f t="shared" si="22"/>
        <v>0</v>
      </c>
      <c r="H30" s="157">
        <f t="shared" si="22"/>
        <v>0</v>
      </c>
      <c r="I30" s="157">
        <f t="shared" si="22"/>
        <v>0</v>
      </c>
      <c r="J30" s="157">
        <f t="shared" si="22"/>
        <v>0</v>
      </c>
      <c r="K30" s="157">
        <f t="shared" si="22"/>
        <v>0</v>
      </c>
      <c r="L30" s="157">
        <f t="shared" si="22"/>
        <v>0</v>
      </c>
      <c r="M30" s="157">
        <f t="shared" si="22"/>
        <v>0</v>
      </c>
      <c r="N30" s="157">
        <f t="shared" si="22"/>
        <v>0</v>
      </c>
      <c r="O30" s="153">
        <f t="shared" si="2"/>
        <v>0</v>
      </c>
    </row>
    <row r="31" spans="1:15" ht="30">
      <c r="A31" s="360"/>
      <c r="B31" s="361"/>
      <c r="C31" s="159" t="s">
        <v>149</v>
      </c>
      <c r="D31" s="160"/>
      <c r="E31" s="156">
        <f aca="true" t="shared" si="23" ref="E31:N31">E65+E204</f>
        <v>0</v>
      </c>
      <c r="F31" s="156">
        <f t="shared" si="23"/>
        <v>0</v>
      </c>
      <c r="G31" s="157">
        <f t="shared" si="23"/>
        <v>0</v>
      </c>
      <c r="H31" s="157">
        <f t="shared" si="23"/>
        <v>0</v>
      </c>
      <c r="I31" s="157">
        <f t="shared" si="23"/>
        <v>0</v>
      </c>
      <c r="J31" s="157">
        <f t="shared" si="23"/>
        <v>0</v>
      </c>
      <c r="K31" s="157">
        <f t="shared" si="23"/>
        <v>0</v>
      </c>
      <c r="L31" s="157">
        <f t="shared" si="23"/>
        <v>0</v>
      </c>
      <c r="M31" s="157">
        <f t="shared" si="23"/>
        <v>0</v>
      </c>
      <c r="N31" s="157">
        <f t="shared" si="23"/>
        <v>0</v>
      </c>
      <c r="O31" s="153">
        <f t="shared" si="2"/>
        <v>0</v>
      </c>
    </row>
    <row r="32" spans="1:15" ht="60">
      <c r="A32" s="360"/>
      <c r="B32" s="361"/>
      <c r="C32" s="159" t="s">
        <v>150</v>
      </c>
      <c r="D32" s="160"/>
      <c r="E32" s="156">
        <f aca="true" t="shared" si="24" ref="E32:N32">E54+E195</f>
        <v>500</v>
      </c>
      <c r="F32" s="156">
        <f t="shared" si="24"/>
        <v>0</v>
      </c>
      <c r="G32" s="157">
        <f t="shared" si="24"/>
        <v>0</v>
      </c>
      <c r="H32" s="157">
        <f t="shared" si="24"/>
        <v>0</v>
      </c>
      <c r="I32" s="157">
        <f t="shared" si="24"/>
        <v>0</v>
      </c>
      <c r="J32" s="157">
        <f t="shared" si="24"/>
        <v>0</v>
      </c>
      <c r="K32" s="157">
        <f t="shared" si="24"/>
        <v>0</v>
      </c>
      <c r="L32" s="157">
        <f t="shared" si="24"/>
        <v>0</v>
      </c>
      <c r="M32" s="157">
        <f t="shared" si="24"/>
        <v>0</v>
      </c>
      <c r="N32" s="157">
        <f t="shared" si="24"/>
        <v>0</v>
      </c>
      <c r="O32" s="153">
        <f t="shared" si="2"/>
        <v>0</v>
      </c>
    </row>
    <row r="33" spans="1:15" ht="152.25" customHeight="1">
      <c r="A33" s="360"/>
      <c r="B33" s="361"/>
      <c r="C33" s="164" t="s">
        <v>106</v>
      </c>
      <c r="D33" s="160"/>
      <c r="E33" s="156">
        <f aca="true" t="shared" si="25" ref="E33:N33">E66+E205</f>
        <v>517.9</v>
      </c>
      <c r="F33" s="156">
        <f t="shared" si="25"/>
        <v>31268.1</v>
      </c>
      <c r="G33" s="229">
        <f t="shared" si="25"/>
        <v>142746.9</v>
      </c>
      <c r="H33" s="229">
        <f t="shared" si="25"/>
        <v>145767.9</v>
      </c>
      <c r="I33" s="157">
        <f t="shared" si="25"/>
        <v>130529.1</v>
      </c>
      <c r="J33" s="157">
        <f t="shared" si="25"/>
        <v>115990</v>
      </c>
      <c r="K33" s="157">
        <f t="shared" si="25"/>
        <v>115990</v>
      </c>
      <c r="L33" s="157">
        <f t="shared" si="25"/>
        <v>115990</v>
      </c>
      <c r="M33" s="157">
        <f t="shared" si="25"/>
        <v>115990</v>
      </c>
      <c r="N33" s="157">
        <f t="shared" si="25"/>
        <v>115990</v>
      </c>
      <c r="O33" s="153">
        <f t="shared" si="2"/>
        <v>998993.9</v>
      </c>
    </row>
    <row r="34" spans="1:15" ht="59.25" customHeight="1">
      <c r="A34" s="360"/>
      <c r="B34" s="361"/>
      <c r="C34" s="165" t="s">
        <v>62</v>
      </c>
      <c r="D34" s="160"/>
      <c r="E34" s="156">
        <f aca="true" t="shared" si="26" ref="E34:N34">E38+E46+E187</f>
        <v>2757</v>
      </c>
      <c r="F34" s="156">
        <f t="shared" si="26"/>
        <v>4310</v>
      </c>
      <c r="G34" s="157">
        <f t="shared" si="26"/>
        <v>5125.7</v>
      </c>
      <c r="H34" s="157">
        <f t="shared" si="26"/>
        <v>5847</v>
      </c>
      <c r="I34" s="157">
        <f t="shared" si="26"/>
        <v>6061</v>
      </c>
      <c r="J34" s="157">
        <f t="shared" si="26"/>
        <v>6108.3</v>
      </c>
      <c r="K34" s="157">
        <f t="shared" si="26"/>
        <v>6108.3</v>
      </c>
      <c r="L34" s="157">
        <f t="shared" si="26"/>
        <v>6108.3</v>
      </c>
      <c r="M34" s="157">
        <f t="shared" si="26"/>
        <v>6108.3</v>
      </c>
      <c r="N34" s="157">
        <f t="shared" si="26"/>
        <v>6108.3</v>
      </c>
      <c r="O34" s="153">
        <f t="shared" si="2"/>
        <v>47575.200000000004</v>
      </c>
    </row>
    <row r="35" spans="1:15" ht="30">
      <c r="A35" s="360"/>
      <c r="B35" s="361"/>
      <c r="C35" s="164" t="s">
        <v>151</v>
      </c>
      <c r="D35" s="160"/>
      <c r="E35" s="156">
        <f aca="true" t="shared" si="27" ref="E35:N35">E67+E206</f>
        <v>0</v>
      </c>
      <c r="F35" s="156">
        <f t="shared" si="27"/>
        <v>1286</v>
      </c>
      <c r="G35" s="157">
        <f t="shared" si="27"/>
        <v>500</v>
      </c>
      <c r="H35" s="157">
        <f t="shared" si="27"/>
        <v>0</v>
      </c>
      <c r="I35" s="157">
        <f t="shared" si="27"/>
        <v>0</v>
      </c>
      <c r="J35" s="157">
        <f t="shared" si="27"/>
        <v>0</v>
      </c>
      <c r="K35" s="157">
        <f t="shared" si="27"/>
        <v>0</v>
      </c>
      <c r="L35" s="157">
        <f t="shared" si="27"/>
        <v>0</v>
      </c>
      <c r="M35" s="157">
        <f t="shared" si="27"/>
        <v>0</v>
      </c>
      <c r="N35" s="157">
        <f t="shared" si="27"/>
        <v>0</v>
      </c>
      <c r="O35" s="153">
        <f t="shared" si="2"/>
        <v>500</v>
      </c>
    </row>
    <row r="36" spans="1:15" s="171" customFormat="1" ht="139.5" customHeight="1">
      <c r="A36" s="166" t="s">
        <v>152</v>
      </c>
      <c r="B36" s="167" t="s">
        <v>153</v>
      </c>
      <c r="C36" s="167" t="s">
        <v>9</v>
      </c>
      <c r="D36" s="168" t="s">
        <v>440</v>
      </c>
      <c r="E36" s="169">
        <v>29652.2</v>
      </c>
      <c r="F36" s="169">
        <v>31159.6</v>
      </c>
      <c r="G36" s="170">
        <v>35092.8</v>
      </c>
      <c r="H36" s="170">
        <v>36146</v>
      </c>
      <c r="I36" s="170">
        <v>37533.1</v>
      </c>
      <c r="J36" s="170">
        <v>37862.6</v>
      </c>
      <c r="K36" s="170">
        <v>37862.6</v>
      </c>
      <c r="L36" s="170">
        <v>37862.6</v>
      </c>
      <c r="M36" s="170">
        <v>37862.6</v>
      </c>
      <c r="N36" s="170">
        <v>37862.6</v>
      </c>
      <c r="O36" s="153">
        <f t="shared" si="2"/>
        <v>298084.9</v>
      </c>
    </row>
    <row r="37" spans="1:15" s="171" customFormat="1" ht="148.5" customHeight="1">
      <c r="A37" s="167" t="s">
        <v>161</v>
      </c>
      <c r="B37" s="167" t="s">
        <v>162</v>
      </c>
      <c r="C37" s="166" t="s">
        <v>60</v>
      </c>
      <c r="D37" s="168" t="s">
        <v>440</v>
      </c>
      <c r="E37" s="169">
        <v>6075.5</v>
      </c>
      <c r="F37" s="169">
        <v>6111.2</v>
      </c>
      <c r="G37" s="170">
        <v>8194.9</v>
      </c>
      <c r="H37" s="170">
        <v>9291.7</v>
      </c>
      <c r="I37" s="170">
        <v>9641.6</v>
      </c>
      <c r="J37" s="170">
        <v>9706.7</v>
      </c>
      <c r="K37" s="170">
        <v>9706.7</v>
      </c>
      <c r="L37" s="170">
        <v>9706.7</v>
      </c>
      <c r="M37" s="170">
        <v>9706.7</v>
      </c>
      <c r="N37" s="170">
        <v>9706.7</v>
      </c>
      <c r="O37" s="153">
        <f t="shared" si="2"/>
        <v>75661.69999999998</v>
      </c>
    </row>
    <row r="38" spans="1:15" s="171" customFormat="1" ht="141.75" customHeight="1">
      <c r="A38" s="167" t="s">
        <v>165</v>
      </c>
      <c r="B38" s="167" t="s">
        <v>166</v>
      </c>
      <c r="C38" s="166" t="s">
        <v>62</v>
      </c>
      <c r="D38" s="168" t="s">
        <v>440</v>
      </c>
      <c r="E38" s="169">
        <v>2757</v>
      </c>
      <c r="F38" s="169">
        <v>4310</v>
      </c>
      <c r="G38" s="170">
        <v>5125.7</v>
      </c>
      <c r="H38" s="170">
        <v>5847</v>
      </c>
      <c r="I38" s="170">
        <v>6061</v>
      </c>
      <c r="J38" s="170">
        <v>6108.3</v>
      </c>
      <c r="K38" s="170">
        <v>6108.3</v>
      </c>
      <c r="L38" s="170">
        <v>6108.3</v>
      </c>
      <c r="M38" s="170">
        <v>6108.3</v>
      </c>
      <c r="N38" s="170">
        <v>6108.3</v>
      </c>
      <c r="O38" s="153">
        <f t="shared" si="2"/>
        <v>47575.200000000004</v>
      </c>
    </row>
    <row r="39" spans="1:15" s="171" customFormat="1" ht="181.5" customHeight="1">
      <c r="A39" s="172" t="s">
        <v>170</v>
      </c>
      <c r="B39" s="173" t="s">
        <v>171</v>
      </c>
      <c r="C39" s="172" t="s">
        <v>67</v>
      </c>
      <c r="D39" s="174" t="s">
        <v>440</v>
      </c>
      <c r="E39" s="175">
        <v>2879.5</v>
      </c>
      <c r="F39" s="175">
        <v>4163.2</v>
      </c>
      <c r="G39" s="176">
        <v>5022.1</v>
      </c>
      <c r="H39" s="176">
        <v>5321.2</v>
      </c>
      <c r="I39" s="176">
        <v>5647.7</v>
      </c>
      <c r="J39" s="176">
        <v>5695</v>
      </c>
      <c r="K39" s="176">
        <v>5695</v>
      </c>
      <c r="L39" s="176">
        <v>5695</v>
      </c>
      <c r="M39" s="176">
        <v>5695</v>
      </c>
      <c r="N39" s="176">
        <v>5695</v>
      </c>
      <c r="O39" s="153">
        <f t="shared" si="2"/>
        <v>44466</v>
      </c>
    </row>
    <row r="40" spans="1:15" s="10" customFormat="1" ht="15.75">
      <c r="A40" s="362" t="s">
        <v>175</v>
      </c>
      <c r="B40" s="365" t="s">
        <v>176</v>
      </c>
      <c r="C40" s="368" t="s">
        <v>177</v>
      </c>
      <c r="D40" s="148" t="s">
        <v>135</v>
      </c>
      <c r="E40" s="177">
        <f>E41+E42+E43+E44</f>
        <v>2034114.3776999998</v>
      </c>
      <c r="F40" s="177">
        <f aca="true" t="shared" si="28" ref="F40:N40">F41+F42+F43+F44</f>
        <v>2348876.8699999996</v>
      </c>
      <c r="G40" s="178">
        <f>G41+G42+G43+G44</f>
        <v>999618.8999999999</v>
      </c>
      <c r="H40" s="178">
        <f t="shared" si="28"/>
        <v>435256.10000000003</v>
      </c>
      <c r="I40" s="178">
        <f t="shared" si="28"/>
        <v>449310.1</v>
      </c>
      <c r="J40" s="178">
        <f t="shared" si="28"/>
        <v>288494.00000000006</v>
      </c>
      <c r="K40" s="178">
        <f t="shared" si="28"/>
        <v>288494.00000000006</v>
      </c>
      <c r="L40" s="178">
        <f t="shared" si="28"/>
        <v>288494.00000000006</v>
      </c>
      <c r="M40" s="178">
        <f t="shared" si="28"/>
        <v>288494.00000000006</v>
      </c>
      <c r="N40" s="178">
        <f t="shared" si="28"/>
        <v>288494.00000000006</v>
      </c>
      <c r="O40" s="153">
        <f t="shared" si="2"/>
        <v>3326655.1</v>
      </c>
    </row>
    <row r="41" spans="1:15" s="10" customFormat="1" ht="15.75">
      <c r="A41" s="363"/>
      <c r="B41" s="366"/>
      <c r="C41" s="369"/>
      <c r="D41" s="148" t="s">
        <v>439</v>
      </c>
      <c r="E41" s="177">
        <f>E69+E81+E116+E164+E171+E77</f>
        <v>178185.2</v>
      </c>
      <c r="F41" s="177">
        <f>F69+F81+F116+F164+F171+F77</f>
        <v>430823.391</v>
      </c>
      <c r="G41" s="178">
        <f>G81+G116+G164+G169+G77+G69+G74</f>
        <v>540293.8</v>
      </c>
      <c r="H41" s="178">
        <f aca="true" t="shared" si="29" ref="H41:N41">H81+H116+H164+H169+H77+H69+H74</f>
        <v>83080</v>
      </c>
      <c r="I41" s="178">
        <f t="shared" si="29"/>
        <v>118810</v>
      </c>
      <c r="J41" s="178">
        <f t="shared" si="29"/>
        <v>0</v>
      </c>
      <c r="K41" s="178">
        <f t="shared" si="29"/>
        <v>0</v>
      </c>
      <c r="L41" s="178">
        <f t="shared" si="29"/>
        <v>0</v>
      </c>
      <c r="M41" s="178">
        <f t="shared" si="29"/>
        <v>0</v>
      </c>
      <c r="N41" s="178">
        <f t="shared" si="29"/>
        <v>0</v>
      </c>
      <c r="O41" s="153">
        <f t="shared" si="2"/>
        <v>742183.8</v>
      </c>
    </row>
    <row r="42" spans="1:15" s="10" customFormat="1" ht="15.75">
      <c r="A42" s="363"/>
      <c r="B42" s="366"/>
      <c r="C42" s="369"/>
      <c r="D42" s="148" t="s">
        <v>440</v>
      </c>
      <c r="E42" s="177">
        <f>E70+E76+E82+E103+E104+E106+E111+E117+E165+E170+E173+E174+E175</f>
        <v>211824.88499999998</v>
      </c>
      <c r="F42" s="177">
        <f>F70+F76+F82+F103+F104+F106+F111+F117+F165+F172+F173+F174+F175</f>
        <v>278794.448</v>
      </c>
      <c r="G42" s="178">
        <f>G76+G82+G103+G104+G106+G111+G117+G165+G173+G174+G175+G177+G176+G181+G70+G75+G78+G170</f>
        <v>459325.0999999999</v>
      </c>
      <c r="H42" s="178">
        <f aca="true" t="shared" si="30" ref="H42:N42">H76+H82+H103+H104+H106+H111+H117+H165+H173+H174+H175+H177+H176+H181+H70+H75+H78+H170</f>
        <v>352176.10000000003</v>
      </c>
      <c r="I42" s="178">
        <f t="shared" si="30"/>
        <v>330500.1</v>
      </c>
      <c r="J42" s="178">
        <f t="shared" si="30"/>
        <v>288494.00000000006</v>
      </c>
      <c r="K42" s="178">
        <f t="shared" si="30"/>
        <v>288494.00000000006</v>
      </c>
      <c r="L42" s="178">
        <f t="shared" si="30"/>
        <v>288494.00000000006</v>
      </c>
      <c r="M42" s="178">
        <f t="shared" si="30"/>
        <v>288494.00000000006</v>
      </c>
      <c r="N42" s="178">
        <f t="shared" si="30"/>
        <v>288494.00000000006</v>
      </c>
      <c r="O42" s="153">
        <f t="shared" si="2"/>
        <v>2584471.3</v>
      </c>
    </row>
    <row r="43" spans="1:15" s="10" customFormat="1" ht="15.75">
      <c r="A43" s="363"/>
      <c r="B43" s="366"/>
      <c r="C43" s="369"/>
      <c r="D43" s="148" t="s">
        <v>441</v>
      </c>
      <c r="E43" s="177">
        <f aca="true" t="shared" si="31" ref="E43:N43">E71+E83+E118</f>
        <v>13332.5447</v>
      </c>
      <c r="F43" s="177">
        <f t="shared" si="31"/>
        <v>6539.237999999999</v>
      </c>
      <c r="G43" s="178">
        <f t="shared" si="31"/>
        <v>0</v>
      </c>
      <c r="H43" s="178">
        <f t="shared" si="31"/>
        <v>0</v>
      </c>
      <c r="I43" s="178">
        <f t="shared" si="31"/>
        <v>0</v>
      </c>
      <c r="J43" s="178">
        <f t="shared" si="31"/>
        <v>0</v>
      </c>
      <c r="K43" s="178">
        <f t="shared" si="31"/>
        <v>0</v>
      </c>
      <c r="L43" s="178">
        <f t="shared" si="31"/>
        <v>0</v>
      </c>
      <c r="M43" s="178">
        <f t="shared" si="31"/>
        <v>0</v>
      </c>
      <c r="N43" s="178">
        <f t="shared" si="31"/>
        <v>0</v>
      </c>
      <c r="O43" s="153">
        <f t="shared" si="2"/>
        <v>0</v>
      </c>
    </row>
    <row r="44" spans="1:15" s="10" customFormat="1" ht="15.75">
      <c r="A44" s="363"/>
      <c r="B44" s="366"/>
      <c r="C44" s="369"/>
      <c r="D44" s="148" t="s">
        <v>442</v>
      </c>
      <c r="E44" s="177">
        <f aca="true" t="shared" si="32" ref="E44:N44">E72+E84+E107+E112+E119</f>
        <v>1630771.748</v>
      </c>
      <c r="F44" s="177">
        <f t="shared" si="32"/>
        <v>1632719.7929999998</v>
      </c>
      <c r="G44" s="178">
        <f t="shared" si="32"/>
        <v>0</v>
      </c>
      <c r="H44" s="178">
        <f t="shared" si="32"/>
        <v>0</v>
      </c>
      <c r="I44" s="178">
        <f t="shared" si="32"/>
        <v>0</v>
      </c>
      <c r="J44" s="178">
        <f t="shared" si="32"/>
        <v>0</v>
      </c>
      <c r="K44" s="178">
        <f t="shared" si="32"/>
        <v>0</v>
      </c>
      <c r="L44" s="178">
        <f t="shared" si="32"/>
        <v>0</v>
      </c>
      <c r="M44" s="178">
        <f t="shared" si="32"/>
        <v>0</v>
      </c>
      <c r="N44" s="178">
        <f t="shared" si="32"/>
        <v>0</v>
      </c>
      <c r="O44" s="153">
        <f t="shared" si="2"/>
        <v>0</v>
      </c>
    </row>
    <row r="45" spans="1:15" s="10" customFormat="1" ht="32.25" customHeight="1">
      <c r="A45" s="363"/>
      <c r="B45" s="366"/>
      <c r="C45" s="370"/>
      <c r="D45" s="180"/>
      <c r="E45" s="181">
        <f>E76+E82+E103+E111+E122+E165+E170+E106+E174+E109+E174</f>
        <v>168879.185</v>
      </c>
      <c r="F45" s="181">
        <f>F76+F82+F103+F111+F122+F165+F170+F106+F174+F109+F174</f>
        <v>221412.3</v>
      </c>
      <c r="G45" s="182">
        <f>G76+G82+G103+G106+G107+G111+G117+G165+G170+G177+G81+G116+G169</f>
        <v>822014.2</v>
      </c>
      <c r="H45" s="182">
        <f aca="true" t="shared" si="33" ref="H45:N45">H76+H82+H103+H106+H107+H111+H117+H165+H170+H177+H81+H116+H169</f>
        <v>280859.19999999995</v>
      </c>
      <c r="I45" s="182">
        <f t="shared" si="33"/>
        <v>310281</v>
      </c>
      <c r="J45" s="182">
        <f t="shared" si="33"/>
        <v>164004</v>
      </c>
      <c r="K45" s="182">
        <f t="shared" si="33"/>
        <v>164004</v>
      </c>
      <c r="L45" s="182">
        <f t="shared" si="33"/>
        <v>164004</v>
      </c>
      <c r="M45" s="182">
        <f t="shared" si="33"/>
        <v>164004</v>
      </c>
      <c r="N45" s="182">
        <f t="shared" si="33"/>
        <v>164004</v>
      </c>
      <c r="O45" s="153">
        <f t="shared" si="2"/>
        <v>2233174.4</v>
      </c>
    </row>
    <row r="46" spans="1:15" s="10" customFormat="1" ht="47.25">
      <c r="A46" s="363"/>
      <c r="B46" s="366"/>
      <c r="C46" s="183" t="s">
        <v>178</v>
      </c>
      <c r="D46" s="180"/>
      <c r="E46" s="181">
        <f aca="true" t="shared" si="34" ref="E46:N55">E123</f>
        <v>0</v>
      </c>
      <c r="F46" s="181">
        <f t="shared" si="34"/>
        <v>0</v>
      </c>
      <c r="G46" s="182">
        <f t="shared" si="34"/>
        <v>0</v>
      </c>
      <c r="H46" s="182">
        <f t="shared" si="34"/>
        <v>0</v>
      </c>
      <c r="I46" s="182">
        <f t="shared" si="34"/>
        <v>0</v>
      </c>
      <c r="J46" s="182">
        <f t="shared" si="34"/>
        <v>0</v>
      </c>
      <c r="K46" s="182">
        <f t="shared" si="34"/>
        <v>0</v>
      </c>
      <c r="L46" s="182">
        <f t="shared" si="34"/>
        <v>0</v>
      </c>
      <c r="M46" s="182">
        <f t="shared" si="34"/>
        <v>0</v>
      </c>
      <c r="N46" s="182">
        <f t="shared" si="34"/>
        <v>0</v>
      </c>
      <c r="O46" s="153">
        <f t="shared" si="2"/>
        <v>0</v>
      </c>
    </row>
    <row r="47" spans="1:15" s="10" customFormat="1" ht="105" customHeight="1">
      <c r="A47" s="363"/>
      <c r="B47" s="366"/>
      <c r="C47" s="183" t="s">
        <v>136</v>
      </c>
      <c r="D47" s="180"/>
      <c r="E47" s="181">
        <f t="shared" si="34"/>
        <v>0</v>
      </c>
      <c r="F47" s="181">
        <f t="shared" si="34"/>
        <v>0</v>
      </c>
      <c r="G47" s="182">
        <v>129.1</v>
      </c>
      <c r="H47" s="182">
        <f aca="true" t="shared" si="35" ref="H47:N47">H124+H181</f>
        <v>129</v>
      </c>
      <c r="I47" s="182">
        <f t="shared" si="35"/>
        <v>0</v>
      </c>
      <c r="J47" s="182">
        <f t="shared" si="35"/>
        <v>0</v>
      </c>
      <c r="K47" s="182">
        <f t="shared" si="35"/>
        <v>0</v>
      </c>
      <c r="L47" s="182">
        <f t="shared" si="35"/>
        <v>0</v>
      </c>
      <c r="M47" s="182">
        <f t="shared" si="35"/>
        <v>0</v>
      </c>
      <c r="N47" s="182">
        <f t="shared" si="35"/>
        <v>0</v>
      </c>
      <c r="O47" s="153">
        <f t="shared" si="2"/>
        <v>258.1</v>
      </c>
    </row>
    <row r="48" spans="1:15" s="10" customFormat="1" ht="47.25">
      <c r="A48" s="363"/>
      <c r="B48" s="366"/>
      <c r="C48" s="183" t="s">
        <v>137</v>
      </c>
      <c r="D48" s="180"/>
      <c r="E48" s="181">
        <f t="shared" si="34"/>
        <v>174.8</v>
      </c>
      <c r="F48" s="181">
        <f t="shared" si="34"/>
        <v>0</v>
      </c>
      <c r="G48" s="182">
        <f t="shared" si="34"/>
        <v>0</v>
      </c>
      <c r="H48" s="182">
        <f t="shared" si="34"/>
        <v>0</v>
      </c>
      <c r="I48" s="182">
        <f t="shared" si="34"/>
        <v>0</v>
      </c>
      <c r="J48" s="182">
        <f t="shared" si="34"/>
        <v>0</v>
      </c>
      <c r="K48" s="182">
        <f t="shared" si="34"/>
        <v>0</v>
      </c>
      <c r="L48" s="182">
        <f t="shared" si="34"/>
        <v>0</v>
      </c>
      <c r="M48" s="182">
        <f t="shared" si="34"/>
        <v>0</v>
      </c>
      <c r="N48" s="182">
        <f t="shared" si="34"/>
        <v>0</v>
      </c>
      <c r="O48" s="153">
        <f t="shared" si="2"/>
        <v>0</v>
      </c>
    </row>
    <row r="49" spans="1:15" s="10" customFormat="1" ht="47.25">
      <c r="A49" s="363"/>
      <c r="B49" s="366"/>
      <c r="C49" s="183" t="s">
        <v>138</v>
      </c>
      <c r="D49" s="180"/>
      <c r="E49" s="181">
        <f t="shared" si="34"/>
        <v>0</v>
      </c>
      <c r="F49" s="181">
        <f t="shared" si="34"/>
        <v>0</v>
      </c>
      <c r="G49" s="182">
        <f t="shared" si="34"/>
        <v>0</v>
      </c>
      <c r="H49" s="182">
        <f t="shared" si="34"/>
        <v>0</v>
      </c>
      <c r="I49" s="182">
        <f t="shared" si="34"/>
        <v>0</v>
      </c>
      <c r="J49" s="182">
        <f t="shared" si="34"/>
        <v>0</v>
      </c>
      <c r="K49" s="182">
        <f t="shared" si="34"/>
        <v>0</v>
      </c>
      <c r="L49" s="182">
        <f t="shared" si="34"/>
        <v>0</v>
      </c>
      <c r="M49" s="182">
        <f t="shared" si="34"/>
        <v>0</v>
      </c>
      <c r="N49" s="182">
        <f t="shared" si="34"/>
        <v>0</v>
      </c>
      <c r="O49" s="153">
        <f t="shared" si="2"/>
        <v>0</v>
      </c>
    </row>
    <row r="50" spans="1:15" s="10" customFormat="1" ht="47.25">
      <c r="A50" s="363"/>
      <c r="B50" s="366"/>
      <c r="C50" s="183" t="s">
        <v>139</v>
      </c>
      <c r="D50" s="180"/>
      <c r="E50" s="181">
        <f t="shared" si="34"/>
        <v>0</v>
      </c>
      <c r="F50" s="181">
        <f t="shared" si="34"/>
        <v>0</v>
      </c>
      <c r="G50" s="182">
        <f t="shared" si="34"/>
        <v>0</v>
      </c>
      <c r="H50" s="182">
        <f t="shared" si="34"/>
        <v>0</v>
      </c>
      <c r="I50" s="182">
        <f t="shared" si="34"/>
        <v>0</v>
      </c>
      <c r="J50" s="182">
        <f t="shared" si="34"/>
        <v>0</v>
      </c>
      <c r="K50" s="182">
        <f t="shared" si="34"/>
        <v>0</v>
      </c>
      <c r="L50" s="182">
        <f t="shared" si="34"/>
        <v>0</v>
      </c>
      <c r="M50" s="182">
        <f t="shared" si="34"/>
        <v>0</v>
      </c>
      <c r="N50" s="182">
        <f t="shared" si="34"/>
        <v>0</v>
      </c>
      <c r="O50" s="153">
        <f t="shared" si="2"/>
        <v>0</v>
      </c>
    </row>
    <row r="51" spans="1:15" s="10" customFormat="1" ht="94.5">
      <c r="A51" s="363"/>
      <c r="B51" s="366"/>
      <c r="C51" s="183" t="s">
        <v>140</v>
      </c>
      <c r="D51" s="180"/>
      <c r="E51" s="181">
        <f t="shared" si="34"/>
        <v>0</v>
      </c>
      <c r="F51" s="181">
        <f t="shared" si="34"/>
        <v>0</v>
      </c>
      <c r="G51" s="182">
        <f t="shared" si="34"/>
        <v>0</v>
      </c>
      <c r="H51" s="182">
        <f t="shared" si="34"/>
        <v>0</v>
      </c>
      <c r="I51" s="182">
        <f t="shared" si="34"/>
        <v>0</v>
      </c>
      <c r="J51" s="182">
        <f t="shared" si="34"/>
        <v>0</v>
      </c>
      <c r="K51" s="182">
        <f t="shared" si="34"/>
        <v>0</v>
      </c>
      <c r="L51" s="182">
        <f t="shared" si="34"/>
        <v>0</v>
      </c>
      <c r="M51" s="182">
        <f t="shared" si="34"/>
        <v>0</v>
      </c>
      <c r="N51" s="182">
        <f t="shared" si="34"/>
        <v>0</v>
      </c>
      <c r="O51" s="153">
        <f t="shared" si="2"/>
        <v>0</v>
      </c>
    </row>
    <row r="52" spans="1:15" s="10" customFormat="1" ht="31.5">
      <c r="A52" s="363"/>
      <c r="B52" s="366"/>
      <c r="C52" s="183" t="s">
        <v>60</v>
      </c>
      <c r="D52" s="180"/>
      <c r="E52" s="181">
        <f t="shared" si="34"/>
        <v>0</v>
      </c>
      <c r="F52" s="181">
        <f t="shared" si="34"/>
        <v>0</v>
      </c>
      <c r="G52" s="182">
        <f>G129+G176</f>
        <v>3000</v>
      </c>
      <c r="H52" s="182">
        <f aca="true" t="shared" si="36" ref="H52:N52">H129+H176</f>
        <v>0</v>
      </c>
      <c r="I52" s="182">
        <f t="shared" si="36"/>
        <v>0</v>
      </c>
      <c r="J52" s="182">
        <f t="shared" si="36"/>
        <v>0</v>
      </c>
      <c r="K52" s="182">
        <f t="shared" si="36"/>
        <v>0</v>
      </c>
      <c r="L52" s="182">
        <f t="shared" si="36"/>
        <v>0</v>
      </c>
      <c r="M52" s="182">
        <f t="shared" si="36"/>
        <v>0</v>
      </c>
      <c r="N52" s="182">
        <f t="shared" si="36"/>
        <v>0</v>
      </c>
      <c r="O52" s="153">
        <f t="shared" si="2"/>
        <v>3000</v>
      </c>
    </row>
    <row r="53" spans="1:15" s="10" customFormat="1" ht="63">
      <c r="A53" s="363"/>
      <c r="B53" s="366"/>
      <c r="C53" s="183" t="s">
        <v>141</v>
      </c>
      <c r="D53" s="180"/>
      <c r="E53" s="181">
        <f t="shared" si="34"/>
        <v>480</v>
      </c>
      <c r="F53" s="181">
        <f t="shared" si="34"/>
        <v>0</v>
      </c>
      <c r="G53" s="182">
        <f t="shared" si="34"/>
        <v>0</v>
      </c>
      <c r="H53" s="182">
        <f t="shared" si="34"/>
        <v>0</v>
      </c>
      <c r="I53" s="182">
        <f t="shared" si="34"/>
        <v>0</v>
      </c>
      <c r="J53" s="182">
        <f t="shared" si="34"/>
        <v>0</v>
      </c>
      <c r="K53" s="182">
        <f t="shared" si="34"/>
        <v>0</v>
      </c>
      <c r="L53" s="182">
        <f t="shared" si="34"/>
        <v>0</v>
      </c>
      <c r="M53" s="182">
        <f t="shared" si="34"/>
        <v>0</v>
      </c>
      <c r="N53" s="182">
        <f t="shared" si="34"/>
        <v>0</v>
      </c>
      <c r="O53" s="153">
        <f t="shared" si="2"/>
        <v>0</v>
      </c>
    </row>
    <row r="54" spans="1:15" s="10" customFormat="1" ht="75" customHeight="1">
      <c r="A54" s="363"/>
      <c r="B54" s="366"/>
      <c r="C54" s="183" t="s">
        <v>150</v>
      </c>
      <c r="D54" s="180"/>
      <c r="E54" s="181">
        <f t="shared" si="34"/>
        <v>0</v>
      </c>
      <c r="F54" s="181">
        <f t="shared" si="34"/>
        <v>0</v>
      </c>
      <c r="G54" s="182">
        <f t="shared" si="34"/>
        <v>0</v>
      </c>
      <c r="H54" s="182">
        <f t="shared" si="34"/>
        <v>0</v>
      </c>
      <c r="I54" s="182">
        <f t="shared" si="34"/>
        <v>0</v>
      </c>
      <c r="J54" s="182">
        <f t="shared" si="34"/>
        <v>0</v>
      </c>
      <c r="K54" s="182">
        <f t="shared" si="34"/>
        <v>0</v>
      </c>
      <c r="L54" s="182">
        <f t="shared" si="34"/>
        <v>0</v>
      </c>
      <c r="M54" s="182">
        <f t="shared" si="34"/>
        <v>0</v>
      </c>
      <c r="N54" s="182">
        <f t="shared" si="34"/>
        <v>0</v>
      </c>
      <c r="O54" s="153">
        <f t="shared" si="2"/>
        <v>0</v>
      </c>
    </row>
    <row r="55" spans="1:15" s="10" customFormat="1" ht="47.25">
      <c r="A55" s="363"/>
      <c r="B55" s="366"/>
      <c r="C55" s="183" t="s">
        <v>114</v>
      </c>
      <c r="D55" s="180"/>
      <c r="E55" s="181">
        <f t="shared" si="34"/>
        <v>1200</v>
      </c>
      <c r="F55" s="181">
        <f t="shared" si="34"/>
        <v>1221.8</v>
      </c>
      <c r="G55" s="182">
        <f t="shared" si="34"/>
        <v>0</v>
      </c>
      <c r="H55" s="182">
        <f t="shared" si="34"/>
        <v>0</v>
      </c>
      <c r="I55" s="182">
        <f t="shared" si="34"/>
        <v>0</v>
      </c>
      <c r="J55" s="182">
        <f t="shared" si="34"/>
        <v>0</v>
      </c>
      <c r="K55" s="182">
        <f t="shared" si="34"/>
        <v>0</v>
      </c>
      <c r="L55" s="182">
        <f t="shared" si="34"/>
        <v>0</v>
      </c>
      <c r="M55" s="182">
        <f t="shared" si="34"/>
        <v>0</v>
      </c>
      <c r="N55" s="182">
        <f t="shared" si="34"/>
        <v>0</v>
      </c>
      <c r="O55" s="153">
        <f t="shared" si="2"/>
        <v>0</v>
      </c>
    </row>
    <row r="56" spans="1:15" s="10" customFormat="1" ht="63">
      <c r="A56" s="363"/>
      <c r="B56" s="366"/>
      <c r="C56" s="183" t="s">
        <v>142</v>
      </c>
      <c r="D56" s="180"/>
      <c r="E56" s="181">
        <f>E78+E85+E104+E133</f>
        <v>30000</v>
      </c>
      <c r="F56" s="181">
        <f>F78+F85+F104+F133</f>
        <v>0</v>
      </c>
      <c r="G56" s="182">
        <f aca="true" t="shared" si="37" ref="G56:N56">G78+G104+G133</f>
        <v>14850</v>
      </c>
      <c r="H56" s="182">
        <f t="shared" si="37"/>
        <v>0</v>
      </c>
      <c r="I56" s="182">
        <f t="shared" si="37"/>
        <v>0</v>
      </c>
      <c r="J56" s="182">
        <f t="shared" si="37"/>
        <v>0</v>
      </c>
      <c r="K56" s="182">
        <f t="shared" si="37"/>
        <v>0</v>
      </c>
      <c r="L56" s="182">
        <f t="shared" si="37"/>
        <v>0</v>
      </c>
      <c r="M56" s="182">
        <f t="shared" si="37"/>
        <v>0</v>
      </c>
      <c r="N56" s="182">
        <f t="shared" si="37"/>
        <v>0</v>
      </c>
      <c r="O56" s="153">
        <f t="shared" si="2"/>
        <v>14850</v>
      </c>
    </row>
    <row r="57" spans="1:15" s="10" customFormat="1" ht="47.25">
      <c r="A57" s="363"/>
      <c r="B57" s="366"/>
      <c r="C57" s="183" t="s">
        <v>143</v>
      </c>
      <c r="D57" s="180"/>
      <c r="E57" s="181">
        <f>E134</f>
        <v>47.5</v>
      </c>
      <c r="F57" s="181">
        <f aca="true" t="shared" si="38" ref="F57:N58">F134</f>
        <v>0</v>
      </c>
      <c r="G57" s="182">
        <f t="shared" si="38"/>
        <v>0</v>
      </c>
      <c r="H57" s="182">
        <f t="shared" si="38"/>
        <v>0</v>
      </c>
      <c r="I57" s="182">
        <f t="shared" si="38"/>
        <v>0</v>
      </c>
      <c r="J57" s="182">
        <f t="shared" si="38"/>
        <v>0</v>
      </c>
      <c r="K57" s="182">
        <f t="shared" si="38"/>
        <v>0</v>
      </c>
      <c r="L57" s="182">
        <f t="shared" si="38"/>
        <v>0</v>
      </c>
      <c r="M57" s="182">
        <f t="shared" si="38"/>
        <v>0</v>
      </c>
      <c r="N57" s="182">
        <f t="shared" si="38"/>
        <v>0</v>
      </c>
      <c r="O57" s="153">
        <f t="shared" si="2"/>
        <v>0</v>
      </c>
    </row>
    <row r="58" spans="1:15" s="10" customFormat="1" ht="47.25">
      <c r="A58" s="363"/>
      <c r="B58" s="366"/>
      <c r="C58" s="183" t="s">
        <v>144</v>
      </c>
      <c r="D58" s="180"/>
      <c r="E58" s="181">
        <f>E135</f>
        <v>0</v>
      </c>
      <c r="F58" s="181">
        <f t="shared" si="38"/>
        <v>0</v>
      </c>
      <c r="G58" s="182">
        <f t="shared" si="38"/>
        <v>0</v>
      </c>
      <c r="H58" s="182">
        <f t="shared" si="38"/>
        <v>0</v>
      </c>
      <c r="I58" s="182">
        <f t="shared" si="38"/>
        <v>0</v>
      </c>
      <c r="J58" s="182">
        <f t="shared" si="38"/>
        <v>0</v>
      </c>
      <c r="K58" s="182">
        <f t="shared" si="38"/>
        <v>0</v>
      </c>
      <c r="L58" s="182">
        <f t="shared" si="38"/>
        <v>0</v>
      </c>
      <c r="M58" s="182">
        <f t="shared" si="38"/>
        <v>0</v>
      </c>
      <c r="N58" s="182">
        <f t="shared" si="38"/>
        <v>0</v>
      </c>
      <c r="O58" s="153">
        <f t="shared" si="2"/>
        <v>0</v>
      </c>
    </row>
    <row r="59" spans="1:15" s="10" customFormat="1" ht="15.75" customHeight="1">
      <c r="A59" s="363"/>
      <c r="B59" s="366"/>
      <c r="C59" s="368" t="s">
        <v>145</v>
      </c>
      <c r="D59" s="180" t="s">
        <v>481</v>
      </c>
      <c r="E59" s="181"/>
      <c r="F59" s="181"/>
      <c r="G59" s="182">
        <f>G60+G61</f>
        <v>18878.699999999997</v>
      </c>
      <c r="H59" s="182">
        <f aca="true" t="shared" si="39" ref="H59:N59">H60+H61</f>
        <v>8500</v>
      </c>
      <c r="I59" s="182">
        <f t="shared" si="39"/>
        <v>8500</v>
      </c>
      <c r="J59" s="182">
        <f t="shared" si="39"/>
        <v>8500</v>
      </c>
      <c r="K59" s="182">
        <f t="shared" si="39"/>
        <v>8500</v>
      </c>
      <c r="L59" s="182">
        <f t="shared" si="39"/>
        <v>8500</v>
      </c>
      <c r="M59" s="182">
        <f t="shared" si="39"/>
        <v>8500</v>
      </c>
      <c r="N59" s="182">
        <f t="shared" si="39"/>
        <v>8500</v>
      </c>
      <c r="O59" s="153">
        <f t="shared" si="2"/>
        <v>78378.7</v>
      </c>
    </row>
    <row r="60" spans="1:15" s="10" customFormat="1" ht="15.75">
      <c r="A60" s="363"/>
      <c r="B60" s="366"/>
      <c r="C60" s="369"/>
      <c r="D60" s="180" t="s">
        <v>440</v>
      </c>
      <c r="E60" s="181">
        <f>E70+E136</f>
        <v>10497.599999999999</v>
      </c>
      <c r="F60" s="181">
        <f>F70+F136</f>
        <v>21192.248</v>
      </c>
      <c r="G60" s="182">
        <f aca="true" t="shared" si="40" ref="G60:N60">G70+G136+G85+G75</f>
        <v>8810.3</v>
      </c>
      <c r="H60" s="182">
        <f t="shared" si="40"/>
        <v>8500</v>
      </c>
      <c r="I60" s="182">
        <f t="shared" si="40"/>
        <v>8500</v>
      </c>
      <c r="J60" s="182">
        <f t="shared" si="40"/>
        <v>8500</v>
      </c>
      <c r="K60" s="182">
        <f t="shared" si="40"/>
        <v>8500</v>
      </c>
      <c r="L60" s="182">
        <f t="shared" si="40"/>
        <v>8500</v>
      </c>
      <c r="M60" s="182">
        <f t="shared" si="40"/>
        <v>8500</v>
      </c>
      <c r="N60" s="182">
        <f t="shared" si="40"/>
        <v>8500</v>
      </c>
      <c r="O60" s="153">
        <f t="shared" si="2"/>
        <v>68310.3</v>
      </c>
    </row>
    <row r="61" spans="1:15" s="10" customFormat="1" ht="15.75">
      <c r="A61" s="363"/>
      <c r="B61" s="366"/>
      <c r="C61" s="370"/>
      <c r="D61" s="180" t="s">
        <v>439</v>
      </c>
      <c r="E61" s="181"/>
      <c r="F61" s="181"/>
      <c r="G61" s="182">
        <f>G69+G74</f>
        <v>10068.4</v>
      </c>
      <c r="H61" s="182">
        <f aca="true" t="shared" si="41" ref="H61:N61">H69+H74</f>
        <v>0</v>
      </c>
      <c r="I61" s="182">
        <f t="shared" si="41"/>
        <v>0</v>
      </c>
      <c r="J61" s="182">
        <f t="shared" si="41"/>
        <v>0</v>
      </c>
      <c r="K61" s="182">
        <f t="shared" si="41"/>
        <v>0</v>
      </c>
      <c r="L61" s="182">
        <f t="shared" si="41"/>
        <v>0</v>
      </c>
      <c r="M61" s="182">
        <f t="shared" si="41"/>
        <v>0</v>
      </c>
      <c r="N61" s="182">
        <f t="shared" si="41"/>
        <v>0</v>
      </c>
      <c r="O61" s="153"/>
    </row>
    <row r="62" spans="1:15" s="10" customFormat="1" ht="47.25">
      <c r="A62" s="363"/>
      <c r="B62" s="366"/>
      <c r="C62" s="183" t="s">
        <v>146</v>
      </c>
      <c r="D62" s="180"/>
      <c r="E62" s="181">
        <f>E137</f>
        <v>0</v>
      </c>
      <c r="F62" s="181">
        <f aca="true" t="shared" si="42" ref="F62:N65">F137</f>
        <v>0</v>
      </c>
      <c r="G62" s="182">
        <f t="shared" si="42"/>
        <v>0</v>
      </c>
      <c r="H62" s="182">
        <f t="shared" si="42"/>
        <v>0</v>
      </c>
      <c r="I62" s="182">
        <f t="shared" si="42"/>
        <v>0</v>
      </c>
      <c r="J62" s="182">
        <f t="shared" si="42"/>
        <v>0</v>
      </c>
      <c r="K62" s="182">
        <f t="shared" si="42"/>
        <v>0</v>
      </c>
      <c r="L62" s="182">
        <f t="shared" si="42"/>
        <v>0</v>
      </c>
      <c r="M62" s="182">
        <f t="shared" si="42"/>
        <v>0</v>
      </c>
      <c r="N62" s="182">
        <f t="shared" si="42"/>
        <v>0</v>
      </c>
      <c r="O62" s="153">
        <f t="shared" si="2"/>
        <v>0</v>
      </c>
    </row>
    <row r="63" spans="1:15" s="10" customFormat="1" ht="47.25">
      <c r="A63" s="363"/>
      <c r="B63" s="366"/>
      <c r="C63" s="183" t="s">
        <v>147</v>
      </c>
      <c r="D63" s="180"/>
      <c r="E63" s="181">
        <f>E138</f>
        <v>285.4</v>
      </c>
      <c r="F63" s="181">
        <f t="shared" si="42"/>
        <v>4700</v>
      </c>
      <c r="G63" s="182">
        <f t="shared" si="42"/>
        <v>0</v>
      </c>
      <c r="H63" s="182">
        <f t="shared" si="42"/>
        <v>0</v>
      </c>
      <c r="I63" s="182">
        <f t="shared" si="42"/>
        <v>0</v>
      </c>
      <c r="J63" s="182">
        <f t="shared" si="42"/>
        <v>0</v>
      </c>
      <c r="K63" s="182">
        <f t="shared" si="42"/>
        <v>0</v>
      </c>
      <c r="L63" s="182">
        <f t="shared" si="42"/>
        <v>0</v>
      </c>
      <c r="M63" s="182">
        <f t="shared" si="42"/>
        <v>0</v>
      </c>
      <c r="N63" s="182">
        <f t="shared" si="42"/>
        <v>0</v>
      </c>
      <c r="O63" s="153">
        <f t="shared" si="2"/>
        <v>0</v>
      </c>
    </row>
    <row r="64" spans="1:15" s="10" customFormat="1" ht="63">
      <c r="A64" s="363"/>
      <c r="B64" s="366"/>
      <c r="C64" s="183" t="s">
        <v>148</v>
      </c>
      <c r="D64" s="180"/>
      <c r="E64" s="181">
        <f>E139</f>
        <v>0</v>
      </c>
      <c r="F64" s="181">
        <f t="shared" si="42"/>
        <v>0</v>
      </c>
      <c r="G64" s="182">
        <f t="shared" si="42"/>
        <v>0</v>
      </c>
      <c r="H64" s="182">
        <f t="shared" si="42"/>
        <v>0</v>
      </c>
      <c r="I64" s="182">
        <f t="shared" si="42"/>
        <v>0</v>
      </c>
      <c r="J64" s="182">
        <f t="shared" si="42"/>
        <v>0</v>
      </c>
      <c r="K64" s="182">
        <f t="shared" si="42"/>
        <v>0</v>
      </c>
      <c r="L64" s="182">
        <f t="shared" si="42"/>
        <v>0</v>
      </c>
      <c r="M64" s="182">
        <f t="shared" si="42"/>
        <v>0</v>
      </c>
      <c r="N64" s="182">
        <f t="shared" si="42"/>
        <v>0</v>
      </c>
      <c r="O64" s="153">
        <f t="shared" si="2"/>
        <v>0</v>
      </c>
    </row>
    <row r="65" spans="1:15" s="10" customFormat="1" ht="47.25">
      <c r="A65" s="363"/>
      <c r="B65" s="366"/>
      <c r="C65" s="183" t="s">
        <v>149</v>
      </c>
      <c r="D65" s="180"/>
      <c r="E65" s="181">
        <f>E140</f>
        <v>0</v>
      </c>
      <c r="F65" s="181">
        <f t="shared" si="42"/>
        <v>0</v>
      </c>
      <c r="G65" s="182">
        <f t="shared" si="42"/>
        <v>0</v>
      </c>
      <c r="H65" s="182">
        <f t="shared" si="42"/>
        <v>0</v>
      </c>
      <c r="I65" s="182">
        <f t="shared" si="42"/>
        <v>0</v>
      </c>
      <c r="J65" s="182">
        <f t="shared" si="42"/>
        <v>0</v>
      </c>
      <c r="K65" s="182">
        <f t="shared" si="42"/>
        <v>0</v>
      </c>
      <c r="L65" s="182">
        <f t="shared" si="42"/>
        <v>0</v>
      </c>
      <c r="M65" s="182">
        <f t="shared" si="42"/>
        <v>0</v>
      </c>
      <c r="N65" s="182">
        <f t="shared" si="42"/>
        <v>0</v>
      </c>
      <c r="O65" s="153">
        <f t="shared" si="2"/>
        <v>0</v>
      </c>
    </row>
    <row r="66" spans="1:15" s="10" customFormat="1" ht="135">
      <c r="A66" s="363"/>
      <c r="B66" s="366"/>
      <c r="C66" s="184" t="s">
        <v>106</v>
      </c>
      <c r="D66" s="180"/>
      <c r="E66" s="181">
        <f>E173+E175+E141</f>
        <v>260.4</v>
      </c>
      <c r="F66" s="181">
        <f>F173+F175+F141</f>
        <v>31268.1</v>
      </c>
      <c r="G66" s="182">
        <f>G173+G175+G174</f>
        <v>140746.9</v>
      </c>
      <c r="H66" s="182">
        <f aca="true" t="shared" si="43" ref="H66:N66">H173+H175+H174</f>
        <v>145767.9</v>
      </c>
      <c r="I66" s="182">
        <f t="shared" si="43"/>
        <v>130529.1</v>
      </c>
      <c r="J66" s="182">
        <f t="shared" si="43"/>
        <v>115990</v>
      </c>
      <c r="K66" s="182">
        <f t="shared" si="43"/>
        <v>115990</v>
      </c>
      <c r="L66" s="182">
        <f t="shared" si="43"/>
        <v>115990</v>
      </c>
      <c r="M66" s="182">
        <f t="shared" si="43"/>
        <v>115990</v>
      </c>
      <c r="N66" s="182">
        <f t="shared" si="43"/>
        <v>115990</v>
      </c>
      <c r="O66" s="153">
        <f t="shared" si="2"/>
        <v>996993.9</v>
      </c>
    </row>
    <row r="67" spans="1:15" s="10" customFormat="1" ht="31.5">
      <c r="A67" s="364"/>
      <c r="B67" s="367"/>
      <c r="C67" s="183" t="s">
        <v>151</v>
      </c>
      <c r="D67" s="180"/>
      <c r="E67" s="181">
        <f>E142</f>
        <v>0</v>
      </c>
      <c r="F67" s="181">
        <f aca="true" t="shared" si="44" ref="F67:N67">F142</f>
        <v>0</v>
      </c>
      <c r="G67" s="182">
        <f t="shared" si="44"/>
        <v>0</v>
      </c>
      <c r="H67" s="182">
        <f t="shared" si="44"/>
        <v>0</v>
      </c>
      <c r="I67" s="182">
        <f t="shared" si="44"/>
        <v>0</v>
      </c>
      <c r="J67" s="182">
        <f t="shared" si="44"/>
        <v>0</v>
      </c>
      <c r="K67" s="182">
        <f t="shared" si="44"/>
        <v>0</v>
      </c>
      <c r="L67" s="182">
        <f t="shared" si="44"/>
        <v>0</v>
      </c>
      <c r="M67" s="182">
        <f t="shared" si="44"/>
        <v>0</v>
      </c>
      <c r="N67" s="182">
        <f t="shared" si="44"/>
        <v>0</v>
      </c>
      <c r="O67" s="153">
        <f t="shared" si="2"/>
        <v>0</v>
      </c>
    </row>
    <row r="68" spans="1:15" s="10" customFormat="1" ht="15.75">
      <c r="A68" s="179"/>
      <c r="B68" s="371" t="s">
        <v>443</v>
      </c>
      <c r="C68" s="371" t="s">
        <v>69</v>
      </c>
      <c r="D68" s="186" t="s">
        <v>135</v>
      </c>
      <c r="E68" s="187">
        <f>E69+E70+E71+E72</f>
        <v>22574.1</v>
      </c>
      <c r="F68" s="187">
        <f>F69+F70+F71+F72</f>
        <v>12859.328</v>
      </c>
      <c r="G68" s="188">
        <f aca="true" t="shared" si="45" ref="G68:N68">G69+G70+G71+G72</f>
        <v>10184.7</v>
      </c>
      <c r="H68" s="188">
        <f t="shared" si="45"/>
        <v>4500</v>
      </c>
      <c r="I68" s="188">
        <f t="shared" si="45"/>
        <v>4500</v>
      </c>
      <c r="J68" s="188">
        <f t="shared" si="45"/>
        <v>4500</v>
      </c>
      <c r="K68" s="188">
        <f t="shared" si="45"/>
        <v>4500</v>
      </c>
      <c r="L68" s="188">
        <f t="shared" si="45"/>
        <v>4500</v>
      </c>
      <c r="M68" s="188">
        <f t="shared" si="45"/>
        <v>4500</v>
      </c>
      <c r="N68" s="188">
        <f t="shared" si="45"/>
        <v>4500</v>
      </c>
      <c r="O68" s="153">
        <f t="shared" si="2"/>
        <v>41684.7</v>
      </c>
    </row>
    <row r="69" spans="1:15" s="10" customFormat="1" ht="15.75" customHeight="1">
      <c r="A69" s="374" t="s">
        <v>179</v>
      </c>
      <c r="B69" s="372"/>
      <c r="C69" s="372"/>
      <c r="D69" s="191" t="s">
        <v>439</v>
      </c>
      <c r="E69" s="181">
        <v>12388.3</v>
      </c>
      <c r="F69" s="181">
        <v>7588.08</v>
      </c>
      <c r="G69" s="182">
        <v>5374.4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53">
        <f t="shared" si="2"/>
        <v>5374.4</v>
      </c>
    </row>
    <row r="70" spans="1:15" s="10" customFormat="1" ht="15.75">
      <c r="A70" s="375"/>
      <c r="B70" s="372"/>
      <c r="C70" s="372"/>
      <c r="D70" s="191" t="s">
        <v>440</v>
      </c>
      <c r="E70" s="181">
        <f>10065.5+120.3</f>
        <v>10185.8</v>
      </c>
      <c r="F70" s="181">
        <v>5271.248</v>
      </c>
      <c r="G70" s="182">
        <v>4810.3</v>
      </c>
      <c r="H70" s="182">
        <v>4500</v>
      </c>
      <c r="I70" s="182">
        <v>4500</v>
      </c>
      <c r="J70" s="182">
        <v>4500</v>
      </c>
      <c r="K70" s="182">
        <v>4500</v>
      </c>
      <c r="L70" s="182">
        <v>4500</v>
      </c>
      <c r="M70" s="182">
        <v>4500</v>
      </c>
      <c r="N70" s="182">
        <v>4500</v>
      </c>
      <c r="O70" s="153">
        <f t="shared" si="2"/>
        <v>36310.3</v>
      </c>
    </row>
    <row r="71" spans="1:15" s="10" customFormat="1" ht="16.5" customHeight="1">
      <c r="A71" s="375"/>
      <c r="B71" s="372"/>
      <c r="C71" s="372"/>
      <c r="D71" s="193"/>
      <c r="E71" s="181"/>
      <c r="F71" s="181"/>
      <c r="G71" s="182"/>
      <c r="H71" s="182"/>
      <c r="I71" s="182"/>
      <c r="J71" s="182"/>
      <c r="K71" s="182"/>
      <c r="L71" s="182"/>
      <c r="M71" s="182"/>
      <c r="N71" s="182"/>
      <c r="O71" s="153">
        <f t="shared" si="2"/>
        <v>0</v>
      </c>
    </row>
    <row r="72" spans="1:15" ht="16.5" customHeight="1">
      <c r="A72" s="376"/>
      <c r="B72" s="373"/>
      <c r="C72" s="373"/>
      <c r="D72" s="196"/>
      <c r="E72" s="181"/>
      <c r="F72" s="181"/>
      <c r="G72" s="182"/>
      <c r="H72" s="182"/>
      <c r="I72" s="182"/>
      <c r="J72" s="182"/>
      <c r="K72" s="182"/>
      <c r="L72" s="182"/>
      <c r="M72" s="182"/>
      <c r="N72" s="182"/>
      <c r="O72" s="153">
        <f t="shared" si="2"/>
        <v>0</v>
      </c>
    </row>
    <row r="73" spans="1:15" ht="16.5" customHeight="1">
      <c r="A73" s="192"/>
      <c r="B73" s="371" t="s">
        <v>488</v>
      </c>
      <c r="C73" s="371" t="s">
        <v>69</v>
      </c>
      <c r="D73" s="196" t="s">
        <v>481</v>
      </c>
      <c r="E73" s="181"/>
      <c r="F73" s="181"/>
      <c r="G73" s="182">
        <f>G74+G75</f>
        <v>8694</v>
      </c>
      <c r="H73" s="182">
        <f aca="true" t="shared" si="46" ref="H73:N73">H74+H75</f>
        <v>4000</v>
      </c>
      <c r="I73" s="182">
        <f t="shared" si="46"/>
        <v>4000</v>
      </c>
      <c r="J73" s="182">
        <f t="shared" si="46"/>
        <v>4000</v>
      </c>
      <c r="K73" s="182">
        <f t="shared" si="46"/>
        <v>4000</v>
      </c>
      <c r="L73" s="182">
        <f t="shared" si="46"/>
        <v>4000</v>
      </c>
      <c r="M73" s="182">
        <f t="shared" si="46"/>
        <v>4000</v>
      </c>
      <c r="N73" s="182">
        <f t="shared" si="46"/>
        <v>4000</v>
      </c>
      <c r="O73" s="153"/>
    </row>
    <row r="74" spans="1:15" ht="16.5" customHeight="1">
      <c r="A74" s="192"/>
      <c r="B74" s="372"/>
      <c r="C74" s="372"/>
      <c r="D74" s="196" t="s">
        <v>439</v>
      </c>
      <c r="E74" s="181"/>
      <c r="F74" s="181"/>
      <c r="G74" s="182">
        <v>4694</v>
      </c>
      <c r="H74" s="182"/>
      <c r="I74" s="182"/>
      <c r="J74" s="182"/>
      <c r="K74" s="182"/>
      <c r="L74" s="182"/>
      <c r="M74" s="182"/>
      <c r="N74" s="182"/>
      <c r="O74" s="153"/>
    </row>
    <row r="75" spans="1:15" ht="16.5" customHeight="1">
      <c r="A75" s="192"/>
      <c r="B75" s="373"/>
      <c r="C75" s="373"/>
      <c r="D75" s="196" t="s">
        <v>440</v>
      </c>
      <c r="E75" s="181"/>
      <c r="F75" s="181"/>
      <c r="G75" s="182">
        <v>4000</v>
      </c>
      <c r="H75" s="182">
        <v>4000</v>
      </c>
      <c r="I75" s="182">
        <v>4000</v>
      </c>
      <c r="J75" s="182">
        <v>4000</v>
      </c>
      <c r="K75" s="182">
        <v>4000</v>
      </c>
      <c r="L75" s="182">
        <v>4000</v>
      </c>
      <c r="M75" s="182">
        <v>4000</v>
      </c>
      <c r="N75" s="182">
        <v>4000</v>
      </c>
      <c r="O75" s="153"/>
    </row>
    <row r="76" spans="1:15" ht="63" customHeight="1">
      <c r="A76" s="374" t="s">
        <v>179</v>
      </c>
      <c r="B76" s="377" t="s">
        <v>444</v>
      </c>
      <c r="C76" s="380" t="s">
        <v>9</v>
      </c>
      <c r="D76" s="197" t="s">
        <v>440</v>
      </c>
      <c r="E76" s="181">
        <f>E79</f>
        <v>2560.8</v>
      </c>
      <c r="F76" s="181">
        <f aca="true" t="shared" si="47" ref="F76:N76">F79</f>
        <v>0</v>
      </c>
      <c r="G76" s="182">
        <f t="shared" si="47"/>
        <v>0</v>
      </c>
      <c r="H76" s="182">
        <f t="shared" si="47"/>
        <v>0</v>
      </c>
      <c r="I76" s="182">
        <f t="shared" si="47"/>
        <v>0</v>
      </c>
      <c r="J76" s="182">
        <f t="shared" si="47"/>
        <v>0</v>
      </c>
      <c r="K76" s="182">
        <f t="shared" si="47"/>
        <v>0</v>
      </c>
      <c r="L76" s="182">
        <f t="shared" si="47"/>
        <v>0</v>
      </c>
      <c r="M76" s="182">
        <f t="shared" si="47"/>
        <v>0</v>
      </c>
      <c r="N76" s="182">
        <f t="shared" si="47"/>
        <v>0</v>
      </c>
      <c r="O76" s="153">
        <f t="shared" si="2"/>
        <v>0</v>
      </c>
    </row>
    <row r="77" spans="1:15" ht="18.75">
      <c r="A77" s="375"/>
      <c r="B77" s="378"/>
      <c r="C77" s="381"/>
      <c r="D77" s="197" t="s">
        <v>439</v>
      </c>
      <c r="E77" s="181">
        <v>0</v>
      </c>
      <c r="F77" s="181">
        <v>0</v>
      </c>
      <c r="G77" s="182">
        <v>0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153">
        <f t="shared" si="2"/>
        <v>0</v>
      </c>
    </row>
    <row r="78" spans="1:15" ht="63">
      <c r="A78" s="376"/>
      <c r="B78" s="379"/>
      <c r="C78" s="84" t="s">
        <v>142</v>
      </c>
      <c r="D78" s="197" t="s">
        <v>440</v>
      </c>
      <c r="E78" s="181">
        <v>0</v>
      </c>
      <c r="F78" s="181">
        <v>0</v>
      </c>
      <c r="G78" s="182">
        <v>14850</v>
      </c>
      <c r="H78" s="182">
        <v>0</v>
      </c>
      <c r="I78" s="182">
        <v>0</v>
      </c>
      <c r="J78" s="182">
        <v>0</v>
      </c>
      <c r="K78" s="182">
        <v>0</v>
      </c>
      <c r="L78" s="182">
        <v>0</v>
      </c>
      <c r="M78" s="182">
        <v>0</v>
      </c>
      <c r="N78" s="182">
        <v>0</v>
      </c>
      <c r="O78" s="153">
        <f t="shared" si="2"/>
        <v>14850</v>
      </c>
    </row>
    <row r="79" spans="1:15" ht="110.25">
      <c r="A79" s="192"/>
      <c r="B79" s="19" t="s">
        <v>445</v>
      </c>
      <c r="C79" s="19" t="s">
        <v>9</v>
      </c>
      <c r="D79" s="198" t="s">
        <v>440</v>
      </c>
      <c r="E79" s="181">
        <v>2560.8</v>
      </c>
      <c r="F79" s="181">
        <v>0</v>
      </c>
      <c r="G79" s="182">
        <v>0</v>
      </c>
      <c r="H79" s="182">
        <v>0</v>
      </c>
      <c r="I79" s="182">
        <v>0</v>
      </c>
      <c r="J79" s="182">
        <v>0</v>
      </c>
      <c r="K79" s="182">
        <v>0</v>
      </c>
      <c r="L79" s="182">
        <v>0</v>
      </c>
      <c r="M79" s="182">
        <v>0</v>
      </c>
      <c r="N79" s="182">
        <v>0</v>
      </c>
      <c r="O79" s="153">
        <f aca="true" t="shared" si="48" ref="O79:O146">SUM(G79:N79)</f>
        <v>0</v>
      </c>
    </row>
    <row r="80" spans="1:15" ht="18.75">
      <c r="A80" s="192"/>
      <c r="B80" s="371" t="s">
        <v>446</v>
      </c>
      <c r="C80" s="380" t="s">
        <v>9</v>
      </c>
      <c r="D80" s="199" t="s">
        <v>447</v>
      </c>
      <c r="E80" s="187">
        <f>E81+E82+E83+E84</f>
        <v>106353.4</v>
      </c>
      <c r="F80" s="187">
        <f aca="true" t="shared" si="49" ref="F80:N80">F81+F82+F83+F84</f>
        <v>81402.111</v>
      </c>
      <c r="G80" s="188">
        <f t="shared" si="49"/>
        <v>387403.9</v>
      </c>
      <c r="H80" s="188">
        <f t="shared" si="49"/>
        <v>76096.2</v>
      </c>
      <c r="I80" s="188">
        <f t="shared" si="49"/>
        <v>60255</v>
      </c>
      <c r="J80" s="188">
        <f t="shared" si="49"/>
        <v>69896</v>
      </c>
      <c r="K80" s="188">
        <f t="shared" si="49"/>
        <v>69896</v>
      </c>
      <c r="L80" s="188">
        <f t="shared" si="49"/>
        <v>69896</v>
      </c>
      <c r="M80" s="188">
        <f t="shared" si="49"/>
        <v>69896</v>
      </c>
      <c r="N80" s="188">
        <f t="shared" si="49"/>
        <v>69896</v>
      </c>
      <c r="O80" s="153">
        <f t="shared" si="48"/>
        <v>873235.1000000001</v>
      </c>
    </row>
    <row r="81" spans="1:15" ht="63" customHeight="1">
      <c r="A81" s="374" t="s">
        <v>179</v>
      </c>
      <c r="B81" s="372"/>
      <c r="C81" s="382"/>
      <c r="D81" s="197" t="s">
        <v>439</v>
      </c>
      <c r="E81" s="181">
        <f aca="true" t="shared" si="50" ref="E81:N81">E86+E90+E98</f>
        <v>84806</v>
      </c>
      <c r="F81" s="181">
        <f t="shared" si="50"/>
        <v>51236.511</v>
      </c>
      <c r="G81" s="182">
        <f>G86+G90+G98</f>
        <v>310185.9</v>
      </c>
      <c r="H81" s="182">
        <f t="shared" si="50"/>
        <v>0</v>
      </c>
      <c r="I81" s="182">
        <f t="shared" si="50"/>
        <v>0</v>
      </c>
      <c r="J81" s="182">
        <f t="shared" si="50"/>
        <v>0</v>
      </c>
      <c r="K81" s="182">
        <f t="shared" si="50"/>
        <v>0</v>
      </c>
      <c r="L81" s="182">
        <f t="shared" si="50"/>
        <v>0</v>
      </c>
      <c r="M81" s="182">
        <f t="shared" si="50"/>
        <v>0</v>
      </c>
      <c r="N81" s="182">
        <f t="shared" si="50"/>
        <v>0</v>
      </c>
      <c r="O81" s="153">
        <f t="shared" si="48"/>
        <v>310185.9</v>
      </c>
    </row>
    <row r="82" spans="1:15" ht="63" customHeight="1">
      <c r="A82" s="375"/>
      <c r="B82" s="372"/>
      <c r="C82" s="382"/>
      <c r="D82" s="197" t="s">
        <v>440</v>
      </c>
      <c r="E82" s="181">
        <f>E94+E92+E95+E87+E99</f>
        <v>21547.4</v>
      </c>
      <c r="F82" s="181">
        <f>F94+F92+F95+F87+F99</f>
        <v>30165.6</v>
      </c>
      <c r="G82" s="182">
        <f>G94+G92+G95+G87+G99+G96+G93+G102+G101</f>
        <v>77218</v>
      </c>
      <c r="H82" s="182">
        <f aca="true" t="shared" si="51" ref="H82:N82">H94+H92+H95+H87+H99+H96+H93+H102+H101</f>
        <v>76096.2</v>
      </c>
      <c r="I82" s="182">
        <f t="shared" si="51"/>
        <v>60255</v>
      </c>
      <c r="J82" s="182">
        <f t="shared" si="51"/>
        <v>69896</v>
      </c>
      <c r="K82" s="182">
        <f t="shared" si="51"/>
        <v>69896</v>
      </c>
      <c r="L82" s="182">
        <f t="shared" si="51"/>
        <v>69896</v>
      </c>
      <c r="M82" s="182">
        <f t="shared" si="51"/>
        <v>69896</v>
      </c>
      <c r="N82" s="182">
        <f t="shared" si="51"/>
        <v>69896</v>
      </c>
      <c r="O82" s="153">
        <f t="shared" si="48"/>
        <v>563049.2</v>
      </c>
    </row>
    <row r="83" spans="1:15" ht="63" customHeight="1">
      <c r="A83" s="375"/>
      <c r="B83" s="372"/>
      <c r="C83" s="382"/>
      <c r="D83" s="197"/>
      <c r="E83" s="181"/>
      <c r="F83" s="181"/>
      <c r="G83" s="182"/>
      <c r="H83" s="182"/>
      <c r="I83" s="182"/>
      <c r="J83" s="182"/>
      <c r="K83" s="182"/>
      <c r="L83" s="182"/>
      <c r="M83" s="182"/>
      <c r="N83" s="182"/>
      <c r="O83" s="153">
        <f t="shared" si="48"/>
        <v>0</v>
      </c>
    </row>
    <row r="84" spans="1:15" ht="15.75">
      <c r="A84" s="375"/>
      <c r="B84" s="372"/>
      <c r="C84" s="381"/>
      <c r="D84" s="200"/>
      <c r="E84" s="181"/>
      <c r="F84" s="181"/>
      <c r="G84" s="182"/>
      <c r="H84" s="182"/>
      <c r="I84" s="182"/>
      <c r="J84" s="182"/>
      <c r="K84" s="182"/>
      <c r="L84" s="182"/>
      <c r="M84" s="182"/>
      <c r="N84" s="182"/>
      <c r="O84" s="153">
        <f t="shared" si="48"/>
        <v>0</v>
      </c>
    </row>
    <row r="85" spans="1:15" ht="31.5">
      <c r="A85" s="376"/>
      <c r="B85" s="373"/>
      <c r="C85" s="84" t="s">
        <v>448</v>
      </c>
      <c r="D85" s="197"/>
      <c r="E85" s="181"/>
      <c r="F85" s="181"/>
      <c r="G85" s="182">
        <f>G102</f>
        <v>0</v>
      </c>
      <c r="H85" s="182">
        <f aca="true" t="shared" si="52" ref="H85:N85">H102</f>
        <v>0</v>
      </c>
      <c r="I85" s="182">
        <f t="shared" si="52"/>
        <v>0</v>
      </c>
      <c r="J85" s="182">
        <f t="shared" si="52"/>
        <v>0</v>
      </c>
      <c r="K85" s="182">
        <f t="shared" si="52"/>
        <v>0</v>
      </c>
      <c r="L85" s="182">
        <f t="shared" si="52"/>
        <v>0</v>
      </c>
      <c r="M85" s="182">
        <f t="shared" si="52"/>
        <v>0</v>
      </c>
      <c r="N85" s="182">
        <f t="shared" si="52"/>
        <v>0</v>
      </c>
      <c r="O85" s="153">
        <f t="shared" si="48"/>
        <v>0</v>
      </c>
    </row>
    <row r="86" spans="1:15" ht="18.75">
      <c r="A86" s="192"/>
      <c r="B86" s="201"/>
      <c r="C86" s="383"/>
      <c r="D86" s="202" t="s">
        <v>439</v>
      </c>
      <c r="E86" s="181">
        <f>56265</f>
        <v>56265</v>
      </c>
      <c r="F86" s="181">
        <v>31236.511</v>
      </c>
      <c r="G86" s="182">
        <v>310185.9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0</v>
      </c>
      <c r="N86" s="182">
        <v>0</v>
      </c>
      <c r="O86" s="153">
        <f t="shared" si="48"/>
        <v>310185.9</v>
      </c>
    </row>
    <row r="87" spans="1:15" ht="63">
      <c r="A87" s="192"/>
      <c r="B87" s="201" t="s">
        <v>449</v>
      </c>
      <c r="C87" s="383"/>
      <c r="D87" s="202" t="s">
        <v>440</v>
      </c>
      <c r="E87" s="181">
        <v>13888.9</v>
      </c>
      <c r="F87" s="181">
        <v>6096.1</v>
      </c>
      <c r="G87" s="182">
        <v>34700</v>
      </c>
      <c r="H87" s="182">
        <v>36306.2</v>
      </c>
      <c r="I87" s="182">
        <v>21691</v>
      </c>
      <c r="J87" s="182">
        <v>31332</v>
      </c>
      <c r="K87" s="182">
        <v>31332</v>
      </c>
      <c r="L87" s="182">
        <v>31332</v>
      </c>
      <c r="M87" s="182">
        <v>31332</v>
      </c>
      <c r="N87" s="182">
        <v>31332</v>
      </c>
      <c r="O87" s="153">
        <f t="shared" si="48"/>
        <v>249357.2</v>
      </c>
    </row>
    <row r="88" spans="1:15" ht="18.75">
      <c r="A88" s="192"/>
      <c r="B88" s="201"/>
      <c r="C88" s="383"/>
      <c r="D88" s="202"/>
      <c r="E88" s="181"/>
      <c r="F88" s="181"/>
      <c r="G88" s="182"/>
      <c r="H88" s="182"/>
      <c r="I88" s="182"/>
      <c r="J88" s="182"/>
      <c r="K88" s="182"/>
      <c r="L88" s="182"/>
      <c r="M88" s="182"/>
      <c r="N88" s="182"/>
      <c r="O88" s="153">
        <f t="shared" si="48"/>
        <v>0</v>
      </c>
    </row>
    <row r="89" spans="1:15" ht="18.75">
      <c r="A89" s="192"/>
      <c r="B89" s="201"/>
      <c r="C89" s="383"/>
      <c r="D89" s="202"/>
      <c r="E89" s="181"/>
      <c r="F89" s="181"/>
      <c r="G89" s="182"/>
      <c r="H89" s="182"/>
      <c r="I89" s="182"/>
      <c r="J89" s="182"/>
      <c r="K89" s="182"/>
      <c r="L89" s="182"/>
      <c r="M89" s="182"/>
      <c r="N89" s="182"/>
      <c r="O89" s="153">
        <f t="shared" si="48"/>
        <v>0</v>
      </c>
    </row>
    <row r="90" spans="1:15" ht="31.5" customHeight="1">
      <c r="A90" s="192"/>
      <c r="B90" s="385" t="s">
        <v>450</v>
      </c>
      <c r="C90" s="383"/>
      <c r="D90" s="202" t="s">
        <v>439</v>
      </c>
      <c r="E90" s="181">
        <v>28541</v>
      </c>
      <c r="F90" s="181">
        <v>0</v>
      </c>
      <c r="G90" s="182">
        <v>0</v>
      </c>
      <c r="H90" s="182">
        <v>0</v>
      </c>
      <c r="I90" s="182">
        <v>0</v>
      </c>
      <c r="J90" s="182">
        <v>0</v>
      </c>
      <c r="K90" s="182">
        <v>0</v>
      </c>
      <c r="L90" s="182">
        <v>0</v>
      </c>
      <c r="M90" s="182">
        <v>0</v>
      </c>
      <c r="N90" s="182">
        <v>0</v>
      </c>
      <c r="O90" s="153">
        <f t="shared" si="48"/>
        <v>0</v>
      </c>
    </row>
    <row r="91" spans="1:15" ht="18.75">
      <c r="A91" s="192"/>
      <c r="B91" s="386"/>
      <c r="C91" s="383"/>
      <c r="D91" s="202"/>
      <c r="E91" s="181"/>
      <c r="F91" s="181"/>
      <c r="G91" s="182"/>
      <c r="H91" s="182"/>
      <c r="I91" s="182"/>
      <c r="J91" s="182"/>
      <c r="K91" s="182"/>
      <c r="L91" s="182"/>
      <c r="M91" s="182"/>
      <c r="N91" s="182"/>
      <c r="O91" s="153">
        <f t="shared" si="48"/>
        <v>0</v>
      </c>
    </row>
    <row r="92" spans="1:15" ht="31.5">
      <c r="A92" s="192"/>
      <c r="B92" s="19" t="s">
        <v>451</v>
      </c>
      <c r="C92" s="383"/>
      <c r="D92" s="198" t="s">
        <v>440</v>
      </c>
      <c r="E92" s="181">
        <v>6000</v>
      </c>
      <c r="F92" s="181">
        <v>0</v>
      </c>
      <c r="G92" s="182">
        <f>10000+670</f>
        <v>10670</v>
      </c>
      <c r="H92" s="182">
        <v>1226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182">
        <v>0</v>
      </c>
      <c r="O92" s="153">
        <f t="shared" si="48"/>
        <v>11896</v>
      </c>
    </row>
    <row r="93" spans="1:15" ht="31.5">
      <c r="A93" s="192"/>
      <c r="B93" s="128" t="s">
        <v>452</v>
      </c>
      <c r="C93" s="383"/>
      <c r="D93" s="198" t="s">
        <v>440</v>
      </c>
      <c r="E93" s="181"/>
      <c r="F93" s="181"/>
      <c r="G93" s="182">
        <v>480</v>
      </c>
      <c r="H93" s="182"/>
      <c r="I93" s="182"/>
      <c r="J93" s="182"/>
      <c r="K93" s="182"/>
      <c r="L93" s="182"/>
      <c r="M93" s="182"/>
      <c r="N93" s="182"/>
      <c r="O93" s="153">
        <f t="shared" si="48"/>
        <v>480</v>
      </c>
    </row>
    <row r="94" spans="1:15" ht="47.25">
      <c r="A94" s="192"/>
      <c r="B94" s="128" t="s">
        <v>453</v>
      </c>
      <c r="C94" s="383"/>
      <c r="D94" s="198" t="s">
        <v>440</v>
      </c>
      <c r="E94" s="181">
        <v>440</v>
      </c>
      <c r="F94" s="181">
        <v>0</v>
      </c>
      <c r="G94" s="182">
        <v>350</v>
      </c>
      <c r="H94" s="182">
        <v>500</v>
      </c>
      <c r="I94" s="182">
        <v>500</v>
      </c>
      <c r="J94" s="182">
        <v>500</v>
      </c>
      <c r="K94" s="182">
        <v>500</v>
      </c>
      <c r="L94" s="182">
        <v>500</v>
      </c>
      <c r="M94" s="182">
        <v>500</v>
      </c>
      <c r="N94" s="182">
        <v>500</v>
      </c>
      <c r="O94" s="153">
        <f t="shared" si="48"/>
        <v>3850</v>
      </c>
    </row>
    <row r="95" spans="1:15" ht="47.25">
      <c r="A95" s="192"/>
      <c r="B95" s="204" t="s">
        <v>454</v>
      </c>
      <c r="C95" s="384"/>
      <c r="D95" s="202" t="s">
        <v>440</v>
      </c>
      <c r="E95" s="181">
        <v>1218.5</v>
      </c>
      <c r="F95" s="181">
        <v>5000</v>
      </c>
      <c r="G95" s="182">
        <v>3000</v>
      </c>
      <c r="H95" s="182">
        <v>3000</v>
      </c>
      <c r="I95" s="182">
        <v>3000</v>
      </c>
      <c r="J95" s="182">
        <v>3000</v>
      </c>
      <c r="K95" s="182">
        <v>3000</v>
      </c>
      <c r="L95" s="182">
        <v>3000</v>
      </c>
      <c r="M95" s="182">
        <v>3000</v>
      </c>
      <c r="N95" s="182">
        <v>3000</v>
      </c>
      <c r="O95" s="153">
        <f t="shared" si="48"/>
        <v>24000</v>
      </c>
    </row>
    <row r="96" spans="1:15" ht="31.5">
      <c r="A96" s="192"/>
      <c r="B96" s="204" t="s">
        <v>455</v>
      </c>
      <c r="C96" s="138"/>
      <c r="D96" s="202" t="s">
        <v>440</v>
      </c>
      <c r="E96" s="181"/>
      <c r="F96" s="181"/>
      <c r="G96" s="182">
        <v>25134</v>
      </c>
      <c r="H96" s="182">
        <v>23764</v>
      </c>
      <c r="I96" s="182">
        <v>23764</v>
      </c>
      <c r="J96" s="182">
        <v>23764</v>
      </c>
      <c r="K96" s="182">
        <v>23764</v>
      </c>
      <c r="L96" s="182">
        <v>23764</v>
      </c>
      <c r="M96" s="182">
        <v>23764</v>
      </c>
      <c r="N96" s="182">
        <v>23764</v>
      </c>
      <c r="O96" s="153">
        <f t="shared" si="48"/>
        <v>191482</v>
      </c>
    </row>
    <row r="97" spans="1:15" ht="31.5">
      <c r="A97" s="192"/>
      <c r="B97" s="204" t="s">
        <v>456</v>
      </c>
      <c r="C97" s="138"/>
      <c r="D97" s="202"/>
      <c r="E97" s="181"/>
      <c r="F97" s="181"/>
      <c r="G97" s="182"/>
      <c r="H97" s="182"/>
      <c r="I97" s="182"/>
      <c r="J97" s="182"/>
      <c r="K97" s="182"/>
      <c r="L97" s="182"/>
      <c r="M97" s="182"/>
      <c r="N97" s="182"/>
      <c r="O97" s="153">
        <f t="shared" si="48"/>
        <v>0</v>
      </c>
    </row>
    <row r="98" spans="1:15" ht="18.75">
      <c r="A98" s="192"/>
      <c r="B98" s="385" t="s">
        <v>457</v>
      </c>
      <c r="C98" s="388" t="s">
        <v>9</v>
      </c>
      <c r="D98" s="202" t="s">
        <v>439</v>
      </c>
      <c r="E98" s="181">
        <v>0</v>
      </c>
      <c r="F98" s="181">
        <v>20000</v>
      </c>
      <c r="G98" s="182">
        <v>0</v>
      </c>
      <c r="H98" s="182">
        <v>0</v>
      </c>
      <c r="I98" s="182">
        <v>0</v>
      </c>
      <c r="J98" s="182">
        <v>0</v>
      </c>
      <c r="K98" s="182">
        <v>0</v>
      </c>
      <c r="L98" s="182">
        <v>0</v>
      </c>
      <c r="M98" s="182">
        <v>0</v>
      </c>
      <c r="N98" s="182">
        <v>0</v>
      </c>
      <c r="O98" s="153">
        <f t="shared" si="48"/>
        <v>0</v>
      </c>
    </row>
    <row r="99" spans="1:15" ht="30" customHeight="1">
      <c r="A99" s="192"/>
      <c r="B99" s="387"/>
      <c r="C99" s="383"/>
      <c r="D99" s="202" t="s">
        <v>440</v>
      </c>
      <c r="E99" s="181">
        <v>0</v>
      </c>
      <c r="F99" s="181">
        <v>19069.5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182">
        <v>0</v>
      </c>
      <c r="M99" s="182">
        <v>0</v>
      </c>
      <c r="N99" s="182">
        <v>0</v>
      </c>
      <c r="O99" s="153">
        <f t="shared" si="48"/>
        <v>0</v>
      </c>
    </row>
    <row r="100" spans="1:15" ht="24.75" customHeight="1">
      <c r="A100" s="192"/>
      <c r="B100" s="386"/>
      <c r="C100" s="384"/>
      <c r="D100" s="202" t="s">
        <v>441</v>
      </c>
      <c r="E100" s="181">
        <v>0</v>
      </c>
      <c r="F100" s="181">
        <f>(F98+F99)*0.015</f>
        <v>586.0425</v>
      </c>
      <c r="G100" s="182"/>
      <c r="H100" s="182"/>
      <c r="I100" s="182"/>
      <c r="J100" s="182"/>
      <c r="K100" s="182"/>
      <c r="L100" s="182"/>
      <c r="M100" s="182"/>
      <c r="N100" s="182"/>
      <c r="O100" s="153">
        <f t="shared" si="48"/>
        <v>0</v>
      </c>
    </row>
    <row r="101" spans="1:15" ht="66" customHeight="1">
      <c r="A101" s="192"/>
      <c r="B101" s="203" t="s">
        <v>489</v>
      </c>
      <c r="C101" s="137" t="s">
        <v>9</v>
      </c>
      <c r="D101" s="202" t="s">
        <v>440</v>
      </c>
      <c r="E101" s="181"/>
      <c r="F101" s="181"/>
      <c r="G101" s="182">
        <f>2154.9+729.1</f>
        <v>2884</v>
      </c>
      <c r="H101" s="182">
        <f>7800+3500</f>
        <v>11300</v>
      </c>
      <c r="I101" s="182">
        <f aca="true" t="shared" si="53" ref="I101:N101">7800+3500</f>
        <v>11300</v>
      </c>
      <c r="J101" s="182">
        <f t="shared" si="53"/>
        <v>11300</v>
      </c>
      <c r="K101" s="182">
        <f t="shared" si="53"/>
        <v>11300</v>
      </c>
      <c r="L101" s="182">
        <f t="shared" si="53"/>
        <v>11300</v>
      </c>
      <c r="M101" s="182">
        <f t="shared" si="53"/>
        <v>11300</v>
      </c>
      <c r="N101" s="182">
        <f t="shared" si="53"/>
        <v>11300</v>
      </c>
      <c r="O101" s="153">
        <f t="shared" si="48"/>
        <v>81984</v>
      </c>
    </row>
    <row r="102" spans="1:15" ht="24.75" customHeight="1">
      <c r="A102" s="192"/>
      <c r="B102" s="92" t="s">
        <v>458</v>
      </c>
      <c r="C102" s="93" t="s">
        <v>459</v>
      </c>
      <c r="D102" s="202" t="s">
        <v>440</v>
      </c>
      <c r="E102" s="181"/>
      <c r="F102" s="181"/>
      <c r="G102" s="182">
        <v>0</v>
      </c>
      <c r="H102" s="182">
        <v>0</v>
      </c>
      <c r="I102" s="182">
        <v>0</v>
      </c>
      <c r="J102" s="182"/>
      <c r="K102" s="182"/>
      <c r="L102" s="182"/>
      <c r="M102" s="182"/>
      <c r="N102" s="182"/>
      <c r="O102" s="153"/>
    </row>
    <row r="103" spans="1:15" ht="63">
      <c r="A103" s="374" t="s">
        <v>179</v>
      </c>
      <c r="B103" s="389" t="s">
        <v>460</v>
      </c>
      <c r="C103" s="205" t="s">
        <v>9</v>
      </c>
      <c r="D103" s="197" t="s">
        <v>440</v>
      </c>
      <c r="E103" s="181">
        <v>0</v>
      </c>
      <c r="F103" s="181"/>
      <c r="G103" s="182"/>
      <c r="H103" s="182"/>
      <c r="I103" s="182"/>
      <c r="J103" s="182"/>
      <c r="K103" s="182">
        <v>0</v>
      </c>
      <c r="L103" s="182">
        <v>0</v>
      </c>
      <c r="M103" s="182">
        <v>0</v>
      </c>
      <c r="N103" s="182">
        <v>0</v>
      </c>
      <c r="O103" s="153">
        <f t="shared" si="48"/>
        <v>0</v>
      </c>
    </row>
    <row r="104" spans="1:15" ht="63">
      <c r="A104" s="376"/>
      <c r="B104" s="389"/>
      <c r="C104" s="84" t="s">
        <v>142</v>
      </c>
      <c r="D104" s="197" t="s">
        <v>440</v>
      </c>
      <c r="E104" s="181">
        <f>E105</f>
        <v>30000</v>
      </c>
      <c r="F104" s="181">
        <f aca="true" t="shared" si="54" ref="F104:N104">F105</f>
        <v>0</v>
      </c>
      <c r="G104" s="182">
        <f t="shared" si="54"/>
        <v>0</v>
      </c>
      <c r="H104" s="182">
        <f t="shared" si="54"/>
        <v>0</v>
      </c>
      <c r="I104" s="182">
        <f t="shared" si="54"/>
        <v>0</v>
      </c>
      <c r="J104" s="182">
        <f t="shared" si="54"/>
        <v>0</v>
      </c>
      <c r="K104" s="182">
        <f t="shared" si="54"/>
        <v>0</v>
      </c>
      <c r="L104" s="182">
        <f t="shared" si="54"/>
        <v>0</v>
      </c>
      <c r="M104" s="182">
        <f t="shared" si="54"/>
        <v>0</v>
      </c>
      <c r="N104" s="182">
        <f t="shared" si="54"/>
        <v>0</v>
      </c>
      <c r="O104" s="153">
        <f t="shared" si="48"/>
        <v>0</v>
      </c>
    </row>
    <row r="105" spans="1:15" ht="63">
      <c r="A105" s="194"/>
      <c r="B105" s="51" t="s">
        <v>461</v>
      </c>
      <c r="C105" s="92" t="s">
        <v>142</v>
      </c>
      <c r="D105" s="202" t="s">
        <v>440</v>
      </c>
      <c r="E105" s="181">
        <v>30000</v>
      </c>
      <c r="F105" s="181">
        <v>0</v>
      </c>
      <c r="G105" s="182">
        <v>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0</v>
      </c>
      <c r="N105" s="182">
        <v>0</v>
      </c>
      <c r="O105" s="153">
        <f t="shared" si="48"/>
        <v>0</v>
      </c>
    </row>
    <row r="106" spans="1:15" ht="110.25">
      <c r="A106" s="83" t="s">
        <v>179</v>
      </c>
      <c r="B106" s="84" t="s">
        <v>462</v>
      </c>
      <c r="C106" s="205" t="s">
        <v>9</v>
      </c>
      <c r="D106" s="197" t="s">
        <v>440</v>
      </c>
      <c r="E106" s="181">
        <v>0</v>
      </c>
      <c r="F106" s="181">
        <v>0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0</v>
      </c>
      <c r="N106" s="182">
        <v>0</v>
      </c>
      <c r="O106" s="153">
        <f t="shared" si="48"/>
        <v>0</v>
      </c>
    </row>
    <row r="107" spans="1:15" ht="78.75">
      <c r="A107" s="83" t="s">
        <v>179</v>
      </c>
      <c r="B107" s="205" t="s">
        <v>71</v>
      </c>
      <c r="C107" s="205" t="s">
        <v>9</v>
      </c>
      <c r="D107" s="197" t="s">
        <v>463</v>
      </c>
      <c r="E107" s="206">
        <f>E108</f>
        <v>1011678</v>
      </c>
      <c r="F107" s="206">
        <f>F108+F109</f>
        <v>1044040.0179999999</v>
      </c>
      <c r="G107" s="207">
        <f aca="true" t="shared" si="55" ref="G107:N107">G108+G109</f>
        <v>0</v>
      </c>
      <c r="H107" s="207">
        <f t="shared" si="55"/>
        <v>0</v>
      </c>
      <c r="I107" s="207">
        <f>I108+I109</f>
        <v>0</v>
      </c>
      <c r="J107" s="207">
        <f t="shared" si="55"/>
        <v>0</v>
      </c>
      <c r="K107" s="207">
        <f t="shared" si="55"/>
        <v>0</v>
      </c>
      <c r="L107" s="207">
        <f t="shared" si="55"/>
        <v>0</v>
      </c>
      <c r="M107" s="207">
        <f t="shared" si="55"/>
        <v>0</v>
      </c>
      <c r="N107" s="207">
        <f t="shared" si="55"/>
        <v>0</v>
      </c>
      <c r="O107" s="153">
        <f t="shared" si="48"/>
        <v>0</v>
      </c>
    </row>
    <row r="108" spans="1:15" ht="31.5">
      <c r="A108" s="16"/>
      <c r="B108" s="19" t="s">
        <v>464</v>
      </c>
      <c r="C108" s="15"/>
      <c r="D108" s="198" t="s">
        <v>463</v>
      </c>
      <c r="E108" s="181">
        <f>1011678</f>
        <v>1011678</v>
      </c>
      <c r="F108" s="181">
        <f>E108*1.031</f>
        <v>1043040.0179999999</v>
      </c>
      <c r="G108" s="182"/>
      <c r="H108" s="182"/>
      <c r="I108" s="182"/>
      <c r="J108" s="182"/>
      <c r="K108" s="182"/>
      <c r="L108" s="182"/>
      <c r="M108" s="182"/>
      <c r="N108" s="182"/>
      <c r="O108" s="153">
        <f t="shared" si="48"/>
        <v>0</v>
      </c>
    </row>
    <row r="109" spans="1:15" ht="18.75">
      <c r="A109" s="16"/>
      <c r="B109" s="29" t="s">
        <v>465</v>
      </c>
      <c r="C109" s="132"/>
      <c r="D109" s="198" t="s">
        <v>440</v>
      </c>
      <c r="E109" s="181">
        <v>0</v>
      </c>
      <c r="F109" s="181">
        <v>1000</v>
      </c>
      <c r="G109" s="182">
        <v>0</v>
      </c>
      <c r="H109" s="182">
        <v>0</v>
      </c>
      <c r="I109" s="182">
        <v>0</v>
      </c>
      <c r="J109" s="182">
        <v>0</v>
      </c>
      <c r="K109" s="182">
        <v>0</v>
      </c>
      <c r="L109" s="182">
        <v>0</v>
      </c>
      <c r="M109" s="182">
        <v>0</v>
      </c>
      <c r="N109" s="182">
        <v>0</v>
      </c>
      <c r="O109" s="153">
        <f t="shared" si="48"/>
        <v>0</v>
      </c>
    </row>
    <row r="110" spans="1:15" ht="18.75">
      <c r="A110" s="16"/>
      <c r="B110" s="371" t="s">
        <v>466</v>
      </c>
      <c r="C110" s="380" t="s">
        <v>9</v>
      </c>
      <c r="D110" s="197" t="s">
        <v>447</v>
      </c>
      <c r="E110" s="187">
        <f>E111+E112</f>
        <v>566591.2</v>
      </c>
      <c r="F110" s="187">
        <f aca="true" t="shared" si="56" ref="F110:N110">F111+F112</f>
        <v>585595.5</v>
      </c>
      <c r="G110" s="188">
        <f t="shared" si="56"/>
        <v>5380</v>
      </c>
      <c r="H110" s="188">
        <f t="shared" si="56"/>
        <v>0</v>
      </c>
      <c r="I110" s="188">
        <f t="shared" si="56"/>
        <v>0</v>
      </c>
      <c r="J110" s="188">
        <f t="shared" si="56"/>
        <v>0</v>
      </c>
      <c r="K110" s="188">
        <f t="shared" si="56"/>
        <v>0</v>
      </c>
      <c r="L110" s="188">
        <f t="shared" si="56"/>
        <v>0</v>
      </c>
      <c r="M110" s="188">
        <f t="shared" si="56"/>
        <v>0</v>
      </c>
      <c r="N110" s="188">
        <f t="shared" si="56"/>
        <v>0</v>
      </c>
      <c r="O110" s="153">
        <f t="shared" si="48"/>
        <v>5380</v>
      </c>
    </row>
    <row r="111" spans="1:15" ht="63" customHeight="1">
      <c r="A111" s="16" t="s">
        <v>179</v>
      </c>
      <c r="B111" s="372"/>
      <c r="C111" s="382"/>
      <c r="D111" s="197" t="s">
        <v>440</v>
      </c>
      <c r="E111" s="181">
        <f>E113</f>
        <v>8881.2</v>
      </c>
      <c r="F111" s="181">
        <f aca="true" t="shared" si="57" ref="F111:N112">F113</f>
        <v>0</v>
      </c>
      <c r="G111" s="182">
        <f>G113</f>
        <v>5380</v>
      </c>
      <c r="H111" s="182">
        <f t="shared" si="57"/>
        <v>0</v>
      </c>
      <c r="I111" s="182">
        <f t="shared" si="57"/>
        <v>0</v>
      </c>
      <c r="J111" s="182">
        <f t="shared" si="57"/>
        <v>0</v>
      </c>
      <c r="K111" s="182">
        <f t="shared" si="57"/>
        <v>0</v>
      </c>
      <c r="L111" s="182">
        <f t="shared" si="57"/>
        <v>0</v>
      </c>
      <c r="M111" s="182">
        <f t="shared" si="57"/>
        <v>0</v>
      </c>
      <c r="N111" s="182">
        <f t="shared" si="57"/>
        <v>0</v>
      </c>
      <c r="O111" s="153">
        <f t="shared" si="48"/>
        <v>5380</v>
      </c>
    </row>
    <row r="112" spans="1:15" ht="18.75" customHeight="1">
      <c r="A112" s="189"/>
      <c r="B112" s="373"/>
      <c r="C112" s="381"/>
      <c r="D112" s="197" t="s">
        <v>463</v>
      </c>
      <c r="E112" s="181">
        <f>E114</f>
        <v>557710</v>
      </c>
      <c r="F112" s="181">
        <f t="shared" si="57"/>
        <v>585595.5</v>
      </c>
      <c r="G112" s="182"/>
      <c r="H112" s="182"/>
      <c r="I112" s="182"/>
      <c r="J112" s="182"/>
      <c r="K112" s="182"/>
      <c r="L112" s="182"/>
      <c r="M112" s="182"/>
      <c r="N112" s="182"/>
      <c r="O112" s="153">
        <f t="shared" si="48"/>
        <v>0</v>
      </c>
    </row>
    <row r="113" spans="1:15" ht="78.75">
      <c r="A113" s="189"/>
      <c r="B113" s="130" t="s">
        <v>467</v>
      </c>
      <c r="C113" s="19"/>
      <c r="D113" s="198" t="s">
        <v>440</v>
      </c>
      <c r="E113" s="181">
        <f>8881.2</f>
        <v>8881.2</v>
      </c>
      <c r="F113" s="181">
        <v>0</v>
      </c>
      <c r="G113" s="182">
        <v>5380</v>
      </c>
      <c r="H113" s="182">
        <v>0</v>
      </c>
      <c r="I113" s="182">
        <v>0</v>
      </c>
      <c r="J113" s="182">
        <v>0</v>
      </c>
      <c r="K113" s="182">
        <v>0</v>
      </c>
      <c r="L113" s="182">
        <v>0</v>
      </c>
      <c r="M113" s="182">
        <v>0</v>
      </c>
      <c r="N113" s="182">
        <v>0</v>
      </c>
      <c r="O113" s="153">
        <f t="shared" si="48"/>
        <v>5380</v>
      </c>
    </row>
    <row r="114" spans="1:15" ht="18.75">
      <c r="A114" s="189"/>
      <c r="B114" s="130" t="s">
        <v>468</v>
      </c>
      <c r="C114" s="29"/>
      <c r="D114" s="198" t="s">
        <v>463</v>
      </c>
      <c r="E114" s="181">
        <v>557710</v>
      </c>
      <c r="F114" s="181">
        <v>585595.5</v>
      </c>
      <c r="G114" s="182"/>
      <c r="H114" s="182"/>
      <c r="I114" s="182"/>
      <c r="J114" s="182"/>
      <c r="K114" s="182"/>
      <c r="L114" s="182"/>
      <c r="M114" s="182"/>
      <c r="N114" s="182"/>
      <c r="O114" s="153">
        <f t="shared" si="48"/>
        <v>0</v>
      </c>
    </row>
    <row r="115" spans="1:15" ht="18.75">
      <c r="A115" s="208"/>
      <c r="B115" s="390" t="s">
        <v>469</v>
      </c>
      <c r="C115" s="380"/>
      <c r="D115" s="197" t="s">
        <v>135</v>
      </c>
      <c r="E115" s="187">
        <f>E116+E117+E118+E119</f>
        <v>208118.67769999997</v>
      </c>
      <c r="F115" s="187">
        <f>F116+F117+F118+F119</f>
        <v>315621.51300000004</v>
      </c>
      <c r="G115" s="188">
        <f aca="true" t="shared" si="58" ref="G115:N115">G116+G117+G118+G119</f>
        <v>232676.9</v>
      </c>
      <c r="H115" s="188">
        <f t="shared" si="58"/>
        <v>58304.6</v>
      </c>
      <c r="I115" s="188">
        <f t="shared" si="58"/>
        <v>56917.6</v>
      </c>
      <c r="J115" s="188">
        <f t="shared" si="58"/>
        <v>56099.6</v>
      </c>
      <c r="K115" s="188">
        <f t="shared" si="58"/>
        <v>56099.6</v>
      </c>
      <c r="L115" s="188">
        <f t="shared" si="58"/>
        <v>56099.6</v>
      </c>
      <c r="M115" s="188">
        <f t="shared" si="58"/>
        <v>56099.6</v>
      </c>
      <c r="N115" s="188">
        <f t="shared" si="58"/>
        <v>56099.6</v>
      </c>
      <c r="O115" s="153">
        <f t="shared" si="48"/>
        <v>628397.0999999999</v>
      </c>
    </row>
    <row r="116" spans="1:15" ht="18.75">
      <c r="A116" s="208"/>
      <c r="B116" s="391"/>
      <c r="C116" s="382"/>
      <c r="D116" s="197" t="s">
        <v>439</v>
      </c>
      <c r="E116" s="181">
        <f>E121</f>
        <v>56490.899999999994</v>
      </c>
      <c r="F116" s="181">
        <f aca="true" t="shared" si="59" ref="F116:N116">F121</f>
        <v>111108.8</v>
      </c>
      <c r="G116" s="182">
        <f t="shared" si="59"/>
        <v>92915</v>
      </c>
      <c r="H116" s="182">
        <f t="shared" si="59"/>
        <v>0</v>
      </c>
      <c r="I116" s="182">
        <f t="shared" si="59"/>
        <v>0</v>
      </c>
      <c r="J116" s="182">
        <f t="shared" si="59"/>
        <v>0</v>
      </c>
      <c r="K116" s="182">
        <f t="shared" si="59"/>
        <v>0</v>
      </c>
      <c r="L116" s="182">
        <f t="shared" si="59"/>
        <v>0</v>
      </c>
      <c r="M116" s="182">
        <f t="shared" si="59"/>
        <v>0</v>
      </c>
      <c r="N116" s="182">
        <f t="shared" si="59"/>
        <v>0</v>
      </c>
      <c r="O116" s="153">
        <f t="shared" si="48"/>
        <v>92915</v>
      </c>
    </row>
    <row r="117" spans="1:15" ht="18.75">
      <c r="A117" s="208"/>
      <c r="B117" s="391"/>
      <c r="C117" s="382"/>
      <c r="D117" s="197" t="s">
        <v>440</v>
      </c>
      <c r="E117" s="181">
        <f>SUM(E122:E142)</f>
        <v>76911.48499999999</v>
      </c>
      <c r="F117" s="181">
        <f>SUM(F122:F142)</f>
        <v>194889.19999999998</v>
      </c>
      <c r="G117" s="182">
        <f aca="true" t="shared" si="60" ref="G117:N117">SUM(G122:G142)</f>
        <v>139761.9</v>
      </c>
      <c r="H117" s="182">
        <f t="shared" si="60"/>
        <v>58304.6</v>
      </c>
      <c r="I117" s="182">
        <f t="shared" si="60"/>
        <v>56917.6</v>
      </c>
      <c r="J117" s="182">
        <f t="shared" si="60"/>
        <v>56099.6</v>
      </c>
      <c r="K117" s="182">
        <f t="shared" si="60"/>
        <v>56099.6</v>
      </c>
      <c r="L117" s="182">
        <f t="shared" si="60"/>
        <v>56099.6</v>
      </c>
      <c r="M117" s="182">
        <f t="shared" si="60"/>
        <v>56099.6</v>
      </c>
      <c r="N117" s="182">
        <f t="shared" si="60"/>
        <v>56099.6</v>
      </c>
      <c r="O117" s="153">
        <f t="shared" si="48"/>
        <v>535482.1</v>
      </c>
    </row>
    <row r="118" spans="1:15" ht="18.75">
      <c r="A118" s="208"/>
      <c r="B118" s="391"/>
      <c r="C118" s="382"/>
      <c r="D118" s="197" t="s">
        <v>441</v>
      </c>
      <c r="E118" s="181">
        <f>E161+E148+E155+E158+E144+E152</f>
        <v>13332.5447</v>
      </c>
      <c r="F118" s="181">
        <f aca="true" t="shared" si="61" ref="F118:N118">F161+F148+F155+F158+F144</f>
        <v>6539.237999999999</v>
      </c>
      <c r="G118" s="182">
        <f>G161+G148+G155+G158+G144</f>
        <v>0</v>
      </c>
      <c r="H118" s="182">
        <f t="shared" si="61"/>
        <v>0</v>
      </c>
      <c r="I118" s="182">
        <f t="shared" si="61"/>
        <v>0</v>
      </c>
      <c r="J118" s="182">
        <f t="shared" si="61"/>
        <v>0</v>
      </c>
      <c r="K118" s="182">
        <f t="shared" si="61"/>
        <v>0</v>
      </c>
      <c r="L118" s="182">
        <f t="shared" si="61"/>
        <v>0</v>
      </c>
      <c r="M118" s="182">
        <f t="shared" si="61"/>
        <v>0</v>
      </c>
      <c r="N118" s="182">
        <f t="shared" si="61"/>
        <v>0</v>
      </c>
      <c r="O118" s="153">
        <f t="shared" si="48"/>
        <v>0</v>
      </c>
    </row>
    <row r="119" spans="1:15" ht="19.5" thickBot="1">
      <c r="A119" s="208"/>
      <c r="B119" s="391"/>
      <c r="C119" s="382"/>
      <c r="D119" s="197" t="s">
        <v>463</v>
      </c>
      <c r="E119" s="181">
        <f>E162+E145+E149</f>
        <v>61383.748</v>
      </c>
      <c r="F119" s="181">
        <f aca="true" t="shared" si="62" ref="F119:N119">F162</f>
        <v>3084.275</v>
      </c>
      <c r="G119" s="182">
        <f t="shared" si="62"/>
        <v>0</v>
      </c>
      <c r="H119" s="182">
        <f t="shared" si="62"/>
        <v>0</v>
      </c>
      <c r="I119" s="182">
        <f t="shared" si="62"/>
        <v>0</v>
      </c>
      <c r="J119" s="182">
        <f t="shared" si="62"/>
        <v>0</v>
      </c>
      <c r="K119" s="182">
        <f t="shared" si="62"/>
        <v>0</v>
      </c>
      <c r="L119" s="182">
        <f t="shared" si="62"/>
        <v>0</v>
      </c>
      <c r="M119" s="182">
        <f t="shared" si="62"/>
        <v>0</v>
      </c>
      <c r="N119" s="182">
        <f t="shared" si="62"/>
        <v>0</v>
      </c>
      <c r="O119" s="153">
        <f t="shared" si="48"/>
        <v>0</v>
      </c>
    </row>
    <row r="120" spans="1:15" ht="18.75">
      <c r="A120" s="208"/>
      <c r="B120" s="392"/>
      <c r="C120" s="394" t="s">
        <v>9</v>
      </c>
      <c r="D120" s="209" t="s">
        <v>447</v>
      </c>
      <c r="E120" s="187">
        <f>E118+E119+E121+E122</f>
        <v>205619.1777</v>
      </c>
      <c r="F120" s="187">
        <f aca="true" t="shared" si="63" ref="F120:N120">F118+F119+F121+F122</f>
        <v>293778.713</v>
      </c>
      <c r="G120" s="188">
        <f t="shared" si="63"/>
        <v>232676.9</v>
      </c>
      <c r="H120" s="188">
        <f t="shared" si="63"/>
        <v>58304.6</v>
      </c>
      <c r="I120" s="188">
        <f t="shared" si="63"/>
        <v>56917.6</v>
      </c>
      <c r="J120" s="188">
        <f t="shared" si="63"/>
        <v>56099.6</v>
      </c>
      <c r="K120" s="188">
        <f t="shared" si="63"/>
        <v>56099.6</v>
      </c>
      <c r="L120" s="188">
        <f t="shared" si="63"/>
        <v>56099.6</v>
      </c>
      <c r="M120" s="188">
        <f t="shared" si="63"/>
        <v>56099.6</v>
      </c>
      <c r="N120" s="188">
        <f t="shared" si="63"/>
        <v>56099.6</v>
      </c>
      <c r="O120" s="153">
        <f t="shared" si="48"/>
        <v>628397.0999999999</v>
      </c>
    </row>
    <row r="121" spans="1:15" ht="65.25" customHeight="1">
      <c r="A121" s="397" t="s">
        <v>179</v>
      </c>
      <c r="B121" s="392"/>
      <c r="C121" s="395"/>
      <c r="D121" s="209" t="s">
        <v>439</v>
      </c>
      <c r="E121" s="181">
        <f>E150+E159+E146+E153+E156</f>
        <v>56490.899999999994</v>
      </c>
      <c r="F121" s="181">
        <f aca="true" t="shared" si="64" ref="F121:N121">F150+F159+F146+F153+F156</f>
        <v>111108.8</v>
      </c>
      <c r="G121" s="182">
        <v>92915</v>
      </c>
      <c r="H121" s="182">
        <f t="shared" si="64"/>
        <v>0</v>
      </c>
      <c r="I121" s="182">
        <f t="shared" si="64"/>
        <v>0</v>
      </c>
      <c r="J121" s="182">
        <f t="shared" si="64"/>
        <v>0</v>
      </c>
      <c r="K121" s="182">
        <f t="shared" si="64"/>
        <v>0</v>
      </c>
      <c r="L121" s="182">
        <f t="shared" si="64"/>
        <v>0</v>
      </c>
      <c r="M121" s="182">
        <f t="shared" si="64"/>
        <v>0</v>
      </c>
      <c r="N121" s="182">
        <f t="shared" si="64"/>
        <v>0</v>
      </c>
      <c r="O121" s="153">
        <f t="shared" si="48"/>
        <v>92915</v>
      </c>
    </row>
    <row r="122" spans="1:15" ht="64.5" customHeight="1" thickBot="1">
      <c r="A122" s="398"/>
      <c r="B122" s="392"/>
      <c r="C122" s="396"/>
      <c r="D122" s="209" t="s">
        <v>440</v>
      </c>
      <c r="E122" s="181">
        <f>E143+E147+E154+E157+E160+E151</f>
        <v>74411.98499999999</v>
      </c>
      <c r="F122" s="181">
        <f>F143+F147+F154+F157+F160+F151</f>
        <v>173046.4</v>
      </c>
      <c r="G122" s="182">
        <f>600+2700+6700+4910+73224.9+7140+3000+24850+3300+3512+9825</f>
        <v>139761.9</v>
      </c>
      <c r="H122" s="182">
        <f>46333.1+6685+5286.5</f>
        <v>58304.6</v>
      </c>
      <c r="I122" s="182">
        <f>44946.1+6685+5286.5</f>
        <v>56917.6</v>
      </c>
      <c r="J122" s="182">
        <f>44128.1+6685+5286.5</f>
        <v>56099.6</v>
      </c>
      <c r="K122" s="182">
        <f>44128.1+6685+5286.5</f>
        <v>56099.6</v>
      </c>
      <c r="L122" s="182">
        <f>44128.1+6685+5286.5</f>
        <v>56099.6</v>
      </c>
      <c r="M122" s="182">
        <f>44128.1+6685+5286.5</f>
        <v>56099.6</v>
      </c>
      <c r="N122" s="182">
        <f>44128.1+6685+5286.5</f>
        <v>56099.6</v>
      </c>
      <c r="O122" s="153">
        <f t="shared" si="48"/>
        <v>535482.1</v>
      </c>
    </row>
    <row r="123" spans="1:15" ht="50.25" customHeight="1" hidden="1">
      <c r="A123" s="398"/>
      <c r="B123" s="391"/>
      <c r="C123" s="195" t="s">
        <v>178</v>
      </c>
      <c r="D123" s="197"/>
      <c r="E123" s="181">
        <v>0</v>
      </c>
      <c r="F123" s="181">
        <v>0</v>
      </c>
      <c r="G123" s="182">
        <v>0</v>
      </c>
      <c r="H123" s="182">
        <v>0</v>
      </c>
      <c r="I123" s="182">
        <v>0</v>
      </c>
      <c r="J123" s="182">
        <v>0</v>
      </c>
      <c r="K123" s="182">
        <v>0</v>
      </c>
      <c r="L123" s="182">
        <v>0</v>
      </c>
      <c r="M123" s="182">
        <v>0</v>
      </c>
      <c r="N123" s="182">
        <v>0</v>
      </c>
      <c r="O123" s="153">
        <f t="shared" si="48"/>
        <v>0</v>
      </c>
    </row>
    <row r="124" spans="1:15" ht="103.5" customHeight="1" hidden="1">
      <c r="A124" s="398"/>
      <c r="B124" s="391"/>
      <c r="C124" s="84" t="s">
        <v>136</v>
      </c>
      <c r="D124" s="197"/>
      <c r="E124" s="181">
        <v>0</v>
      </c>
      <c r="F124" s="181">
        <v>0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0</v>
      </c>
      <c r="N124" s="182">
        <v>0</v>
      </c>
      <c r="O124" s="153">
        <f t="shared" si="48"/>
        <v>0</v>
      </c>
    </row>
    <row r="125" spans="1:15" ht="53.25" customHeight="1" hidden="1">
      <c r="A125" s="398"/>
      <c r="B125" s="391"/>
      <c r="C125" s="84" t="s">
        <v>137</v>
      </c>
      <c r="D125" s="197"/>
      <c r="E125" s="181">
        <v>174.8</v>
      </c>
      <c r="F125" s="181">
        <v>0</v>
      </c>
      <c r="G125" s="182">
        <v>0</v>
      </c>
      <c r="H125" s="182">
        <v>0</v>
      </c>
      <c r="I125" s="182">
        <v>0</v>
      </c>
      <c r="J125" s="182">
        <v>0</v>
      </c>
      <c r="K125" s="182">
        <v>0</v>
      </c>
      <c r="L125" s="182">
        <v>0</v>
      </c>
      <c r="M125" s="182">
        <v>0</v>
      </c>
      <c r="N125" s="182">
        <v>0</v>
      </c>
      <c r="O125" s="153">
        <f t="shared" si="48"/>
        <v>0</v>
      </c>
    </row>
    <row r="126" spans="1:15" ht="53.25" customHeight="1" hidden="1">
      <c r="A126" s="398"/>
      <c r="B126" s="391"/>
      <c r="C126" s="84" t="s">
        <v>138</v>
      </c>
      <c r="D126" s="197"/>
      <c r="E126" s="181">
        <v>0</v>
      </c>
      <c r="F126" s="181">
        <v>0</v>
      </c>
      <c r="G126" s="182">
        <v>0</v>
      </c>
      <c r="H126" s="182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0</v>
      </c>
      <c r="N126" s="182">
        <v>0</v>
      </c>
      <c r="O126" s="153">
        <f t="shared" si="48"/>
        <v>0</v>
      </c>
    </row>
    <row r="127" spans="1:15" ht="53.25" customHeight="1" hidden="1">
      <c r="A127" s="398"/>
      <c r="B127" s="391"/>
      <c r="C127" s="84" t="s">
        <v>139</v>
      </c>
      <c r="D127" s="200"/>
      <c r="E127" s="181">
        <v>0</v>
      </c>
      <c r="F127" s="181">
        <v>0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182">
        <v>0</v>
      </c>
      <c r="M127" s="182">
        <v>0</v>
      </c>
      <c r="N127" s="182">
        <v>0</v>
      </c>
      <c r="O127" s="153">
        <f t="shared" si="48"/>
        <v>0</v>
      </c>
    </row>
    <row r="128" spans="1:15" ht="103.5" customHeight="1" hidden="1">
      <c r="A128" s="398"/>
      <c r="B128" s="391"/>
      <c r="C128" s="84" t="s">
        <v>140</v>
      </c>
      <c r="D128" s="197" t="s">
        <v>154</v>
      </c>
      <c r="E128" s="181">
        <v>0</v>
      </c>
      <c r="F128" s="181">
        <v>0</v>
      </c>
      <c r="G128" s="182">
        <v>0</v>
      </c>
      <c r="H128" s="182">
        <v>0</v>
      </c>
      <c r="I128" s="182">
        <v>0</v>
      </c>
      <c r="J128" s="182">
        <v>0</v>
      </c>
      <c r="K128" s="182">
        <v>0</v>
      </c>
      <c r="L128" s="182">
        <v>0</v>
      </c>
      <c r="M128" s="182">
        <v>0</v>
      </c>
      <c r="N128" s="182">
        <v>0</v>
      </c>
      <c r="O128" s="153">
        <f t="shared" si="48"/>
        <v>0</v>
      </c>
    </row>
    <row r="129" spans="1:15" ht="44.25" customHeight="1" hidden="1">
      <c r="A129" s="398"/>
      <c r="B129" s="391"/>
      <c r="C129" s="84" t="s">
        <v>60</v>
      </c>
      <c r="D129" s="197" t="s">
        <v>154</v>
      </c>
      <c r="E129" s="181">
        <v>0</v>
      </c>
      <c r="F129" s="181">
        <v>0</v>
      </c>
      <c r="G129" s="182">
        <v>0</v>
      </c>
      <c r="H129" s="182">
        <v>0</v>
      </c>
      <c r="I129" s="182">
        <v>0</v>
      </c>
      <c r="J129" s="182">
        <v>0</v>
      </c>
      <c r="K129" s="182">
        <v>0</v>
      </c>
      <c r="L129" s="182">
        <v>0</v>
      </c>
      <c r="M129" s="182">
        <v>0</v>
      </c>
      <c r="N129" s="182">
        <v>0</v>
      </c>
      <c r="O129" s="153">
        <f t="shared" si="48"/>
        <v>0</v>
      </c>
    </row>
    <row r="130" spans="1:15" ht="54" customHeight="1" hidden="1">
      <c r="A130" s="398"/>
      <c r="B130" s="391"/>
      <c r="C130" s="84" t="s">
        <v>141</v>
      </c>
      <c r="D130" s="197" t="s">
        <v>154</v>
      </c>
      <c r="E130" s="181">
        <f>240+240</f>
        <v>480</v>
      </c>
      <c r="F130" s="181">
        <v>0</v>
      </c>
      <c r="G130" s="182">
        <v>0</v>
      </c>
      <c r="H130" s="182">
        <v>0</v>
      </c>
      <c r="I130" s="182">
        <v>0</v>
      </c>
      <c r="J130" s="182">
        <v>0</v>
      </c>
      <c r="K130" s="182">
        <v>0</v>
      </c>
      <c r="L130" s="182">
        <v>0</v>
      </c>
      <c r="M130" s="182">
        <v>0</v>
      </c>
      <c r="N130" s="182">
        <v>0</v>
      </c>
      <c r="O130" s="153">
        <f t="shared" si="48"/>
        <v>0</v>
      </c>
    </row>
    <row r="131" spans="1:15" ht="71.25" customHeight="1" hidden="1">
      <c r="A131" s="398"/>
      <c r="B131" s="391"/>
      <c r="C131" s="84" t="s">
        <v>150</v>
      </c>
      <c r="D131" s="197" t="s">
        <v>154</v>
      </c>
      <c r="E131" s="181">
        <v>0</v>
      </c>
      <c r="F131" s="181">
        <v>0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182">
        <v>0</v>
      </c>
      <c r="M131" s="182">
        <v>0</v>
      </c>
      <c r="N131" s="182">
        <v>0</v>
      </c>
      <c r="O131" s="153">
        <f t="shared" si="48"/>
        <v>0</v>
      </c>
    </row>
    <row r="132" spans="1:15" ht="52.5" customHeight="1" hidden="1">
      <c r="A132" s="398"/>
      <c r="B132" s="391"/>
      <c r="C132" s="84" t="s">
        <v>114</v>
      </c>
      <c r="D132" s="197" t="s">
        <v>154</v>
      </c>
      <c r="E132" s="181">
        <f>400+800</f>
        <v>1200</v>
      </c>
      <c r="F132" s="181">
        <f>521.8+700</f>
        <v>1221.8</v>
      </c>
      <c r="G132" s="182">
        <v>0</v>
      </c>
      <c r="H132" s="182">
        <v>0</v>
      </c>
      <c r="I132" s="182">
        <v>0</v>
      </c>
      <c r="J132" s="182">
        <v>0</v>
      </c>
      <c r="K132" s="182">
        <v>0</v>
      </c>
      <c r="L132" s="182">
        <v>0</v>
      </c>
      <c r="M132" s="182">
        <v>0</v>
      </c>
      <c r="N132" s="182">
        <v>0</v>
      </c>
      <c r="O132" s="153">
        <f t="shared" si="48"/>
        <v>0</v>
      </c>
    </row>
    <row r="133" spans="1:15" ht="64.5" customHeight="1" hidden="1">
      <c r="A133" s="398"/>
      <c r="B133" s="391"/>
      <c r="C133" s="84" t="s">
        <v>142</v>
      </c>
      <c r="D133" s="197" t="s">
        <v>154</v>
      </c>
      <c r="E133" s="181">
        <v>0</v>
      </c>
      <c r="F133" s="181">
        <v>0</v>
      </c>
      <c r="G133" s="182">
        <v>0</v>
      </c>
      <c r="H133" s="182">
        <v>0</v>
      </c>
      <c r="I133" s="182">
        <v>0</v>
      </c>
      <c r="J133" s="182">
        <v>0</v>
      </c>
      <c r="K133" s="182">
        <v>0</v>
      </c>
      <c r="L133" s="182">
        <v>0</v>
      </c>
      <c r="M133" s="182">
        <v>0</v>
      </c>
      <c r="N133" s="182">
        <v>0</v>
      </c>
      <c r="O133" s="153">
        <f t="shared" si="48"/>
        <v>0</v>
      </c>
    </row>
    <row r="134" spans="1:15" ht="54" customHeight="1" hidden="1">
      <c r="A134" s="398"/>
      <c r="B134" s="391"/>
      <c r="C134" s="84" t="s">
        <v>143</v>
      </c>
      <c r="D134" s="197" t="s">
        <v>154</v>
      </c>
      <c r="E134" s="181">
        <v>47.5</v>
      </c>
      <c r="F134" s="181">
        <v>0</v>
      </c>
      <c r="G134" s="182">
        <v>0</v>
      </c>
      <c r="H134" s="182">
        <v>0</v>
      </c>
      <c r="I134" s="182">
        <v>0</v>
      </c>
      <c r="J134" s="182">
        <v>0</v>
      </c>
      <c r="K134" s="182">
        <v>0</v>
      </c>
      <c r="L134" s="182">
        <v>0</v>
      </c>
      <c r="M134" s="182">
        <v>0</v>
      </c>
      <c r="N134" s="182">
        <v>0</v>
      </c>
      <c r="O134" s="153">
        <f t="shared" si="48"/>
        <v>0</v>
      </c>
    </row>
    <row r="135" spans="1:15" ht="16.5" customHeight="1" hidden="1">
      <c r="A135" s="398"/>
      <c r="B135" s="391"/>
      <c r="C135" s="84" t="s">
        <v>144</v>
      </c>
      <c r="D135" s="197" t="s">
        <v>154</v>
      </c>
      <c r="E135" s="181">
        <v>0</v>
      </c>
      <c r="F135" s="181">
        <v>0</v>
      </c>
      <c r="G135" s="182">
        <v>0</v>
      </c>
      <c r="H135" s="182">
        <v>0</v>
      </c>
      <c r="I135" s="182">
        <v>0</v>
      </c>
      <c r="J135" s="182">
        <v>0</v>
      </c>
      <c r="K135" s="182">
        <v>0</v>
      </c>
      <c r="L135" s="182">
        <v>0</v>
      </c>
      <c r="M135" s="182">
        <v>0</v>
      </c>
      <c r="N135" s="182">
        <v>0</v>
      </c>
      <c r="O135" s="153">
        <f t="shared" si="48"/>
        <v>0</v>
      </c>
    </row>
    <row r="136" spans="1:15" ht="70.5" customHeight="1" hidden="1">
      <c r="A136" s="398"/>
      <c r="B136" s="391"/>
      <c r="C136" s="84" t="s">
        <v>145</v>
      </c>
      <c r="D136" s="197" t="s">
        <v>154</v>
      </c>
      <c r="E136" s="181">
        <f>311.3+0.5</f>
        <v>311.8</v>
      </c>
      <c r="F136" s="181">
        <f>3921+4600+5300+2100</f>
        <v>15921</v>
      </c>
      <c r="G136" s="182">
        <v>0</v>
      </c>
      <c r="H136" s="182">
        <v>0</v>
      </c>
      <c r="I136" s="182">
        <v>0</v>
      </c>
      <c r="J136" s="182">
        <v>0</v>
      </c>
      <c r="K136" s="182">
        <v>0</v>
      </c>
      <c r="L136" s="182">
        <v>0</v>
      </c>
      <c r="M136" s="182">
        <v>0</v>
      </c>
      <c r="N136" s="182">
        <v>0</v>
      </c>
      <c r="O136" s="153">
        <f t="shared" si="48"/>
        <v>0</v>
      </c>
    </row>
    <row r="137" spans="1:15" ht="53.25" customHeight="1" hidden="1">
      <c r="A137" s="398"/>
      <c r="B137" s="391"/>
      <c r="C137" s="84" t="s">
        <v>146</v>
      </c>
      <c r="D137" s="197" t="s">
        <v>154</v>
      </c>
      <c r="E137" s="181">
        <v>0</v>
      </c>
      <c r="F137" s="181">
        <v>0</v>
      </c>
      <c r="G137" s="182">
        <v>0</v>
      </c>
      <c r="H137" s="182">
        <v>0</v>
      </c>
      <c r="I137" s="182">
        <v>0</v>
      </c>
      <c r="J137" s="182">
        <v>0</v>
      </c>
      <c r="K137" s="182">
        <v>0</v>
      </c>
      <c r="L137" s="182">
        <v>0</v>
      </c>
      <c r="M137" s="182">
        <v>0</v>
      </c>
      <c r="N137" s="182">
        <v>0</v>
      </c>
      <c r="O137" s="153">
        <f t="shared" si="48"/>
        <v>0</v>
      </c>
    </row>
    <row r="138" spans="1:15" ht="47.25" hidden="1">
      <c r="A138" s="398"/>
      <c r="B138" s="391"/>
      <c r="C138" s="84" t="s">
        <v>147</v>
      </c>
      <c r="D138" s="197" t="s">
        <v>154</v>
      </c>
      <c r="E138" s="181">
        <v>285.4</v>
      </c>
      <c r="F138" s="181">
        <f>4700</f>
        <v>4700</v>
      </c>
      <c r="G138" s="182">
        <v>0</v>
      </c>
      <c r="H138" s="182">
        <v>0</v>
      </c>
      <c r="I138" s="182">
        <v>0</v>
      </c>
      <c r="J138" s="182">
        <v>0</v>
      </c>
      <c r="K138" s="182">
        <v>0</v>
      </c>
      <c r="L138" s="182">
        <v>0</v>
      </c>
      <c r="M138" s="182">
        <v>0</v>
      </c>
      <c r="N138" s="182">
        <v>0</v>
      </c>
      <c r="O138" s="153">
        <f t="shared" si="48"/>
        <v>0</v>
      </c>
    </row>
    <row r="139" spans="1:15" ht="63" hidden="1">
      <c r="A139" s="398"/>
      <c r="B139" s="391"/>
      <c r="C139" s="84" t="s">
        <v>148</v>
      </c>
      <c r="D139" s="197" t="s">
        <v>154</v>
      </c>
      <c r="E139" s="181">
        <v>0</v>
      </c>
      <c r="F139" s="181">
        <v>0</v>
      </c>
      <c r="G139" s="182">
        <v>0</v>
      </c>
      <c r="H139" s="182">
        <v>0</v>
      </c>
      <c r="I139" s="182">
        <v>0</v>
      </c>
      <c r="J139" s="182">
        <v>0</v>
      </c>
      <c r="K139" s="182">
        <v>0</v>
      </c>
      <c r="L139" s="182">
        <v>0</v>
      </c>
      <c r="M139" s="182">
        <v>0</v>
      </c>
      <c r="N139" s="182">
        <v>0</v>
      </c>
      <c r="O139" s="153">
        <f t="shared" si="48"/>
        <v>0</v>
      </c>
    </row>
    <row r="140" spans="1:15" ht="47.25" hidden="1">
      <c r="A140" s="398"/>
      <c r="B140" s="391"/>
      <c r="C140" s="84" t="s">
        <v>149</v>
      </c>
      <c r="D140" s="197" t="s">
        <v>154</v>
      </c>
      <c r="E140" s="181">
        <v>0</v>
      </c>
      <c r="F140" s="181">
        <v>0</v>
      </c>
      <c r="G140" s="182">
        <v>0</v>
      </c>
      <c r="H140" s="182">
        <v>0</v>
      </c>
      <c r="I140" s="182">
        <v>0</v>
      </c>
      <c r="J140" s="182">
        <v>0</v>
      </c>
      <c r="K140" s="182">
        <v>0</v>
      </c>
      <c r="L140" s="182">
        <v>0</v>
      </c>
      <c r="M140" s="182">
        <v>0</v>
      </c>
      <c r="N140" s="182">
        <v>0</v>
      </c>
      <c r="O140" s="153">
        <f t="shared" si="48"/>
        <v>0</v>
      </c>
    </row>
    <row r="141" spans="1:15" ht="173.25" hidden="1">
      <c r="A141" s="398"/>
      <c r="B141" s="391"/>
      <c r="C141" s="185" t="s">
        <v>106</v>
      </c>
      <c r="D141" s="197" t="s">
        <v>154</v>
      </c>
      <c r="E141" s="181">
        <v>0</v>
      </c>
      <c r="F141" s="181">
        <v>0</v>
      </c>
      <c r="G141" s="182">
        <v>0</v>
      </c>
      <c r="H141" s="182">
        <v>0</v>
      </c>
      <c r="I141" s="182">
        <v>0</v>
      </c>
      <c r="J141" s="182">
        <v>0</v>
      </c>
      <c r="K141" s="182">
        <v>0</v>
      </c>
      <c r="L141" s="182">
        <v>0</v>
      </c>
      <c r="M141" s="182">
        <v>0</v>
      </c>
      <c r="N141" s="182">
        <v>0</v>
      </c>
      <c r="O141" s="153">
        <f t="shared" si="48"/>
        <v>0</v>
      </c>
    </row>
    <row r="142" spans="1:15" ht="31.5" hidden="1">
      <c r="A142" s="399"/>
      <c r="B142" s="393"/>
      <c r="C142" s="84" t="s">
        <v>151</v>
      </c>
      <c r="D142" s="197" t="s">
        <v>154</v>
      </c>
      <c r="E142" s="181">
        <v>0</v>
      </c>
      <c r="F142" s="181">
        <v>0</v>
      </c>
      <c r="G142" s="182">
        <v>0</v>
      </c>
      <c r="H142" s="182">
        <v>0</v>
      </c>
      <c r="I142" s="182">
        <v>0</v>
      </c>
      <c r="J142" s="182">
        <v>0</v>
      </c>
      <c r="K142" s="182">
        <v>0</v>
      </c>
      <c r="L142" s="182">
        <v>0</v>
      </c>
      <c r="M142" s="182">
        <v>0</v>
      </c>
      <c r="N142" s="182">
        <v>0</v>
      </c>
      <c r="O142" s="153">
        <f t="shared" si="48"/>
        <v>0</v>
      </c>
    </row>
    <row r="143" spans="1:15" ht="18.75" customHeight="1">
      <c r="A143" s="374"/>
      <c r="B143" s="400" t="s">
        <v>470</v>
      </c>
      <c r="C143" s="318" t="s">
        <v>9</v>
      </c>
      <c r="D143" s="198" t="s">
        <v>440</v>
      </c>
      <c r="E143" s="181">
        <f>315+1370</f>
        <v>1685</v>
      </c>
      <c r="F143" s="181">
        <v>0</v>
      </c>
      <c r="G143" s="182">
        <v>0</v>
      </c>
      <c r="H143" s="182">
        <v>0</v>
      </c>
      <c r="I143" s="182">
        <v>0</v>
      </c>
      <c r="J143" s="182">
        <v>0</v>
      </c>
      <c r="K143" s="182">
        <v>0</v>
      </c>
      <c r="L143" s="182">
        <v>0</v>
      </c>
      <c r="M143" s="182">
        <v>0</v>
      </c>
      <c r="N143" s="182">
        <v>0</v>
      </c>
      <c r="O143" s="153">
        <f t="shared" si="48"/>
        <v>0</v>
      </c>
    </row>
    <row r="144" spans="1:15" ht="27" customHeight="1">
      <c r="A144" s="376"/>
      <c r="B144" s="401"/>
      <c r="C144" s="319"/>
      <c r="D144" s="198" t="s">
        <v>441</v>
      </c>
      <c r="E144" s="181">
        <f>35+1135.73</f>
        <v>1170.73</v>
      </c>
      <c r="F144" s="181">
        <v>0</v>
      </c>
      <c r="G144" s="182">
        <v>0</v>
      </c>
      <c r="H144" s="182">
        <v>0</v>
      </c>
      <c r="I144" s="182">
        <v>0</v>
      </c>
      <c r="J144" s="182">
        <v>0</v>
      </c>
      <c r="K144" s="182">
        <v>0</v>
      </c>
      <c r="L144" s="182">
        <v>0</v>
      </c>
      <c r="M144" s="182">
        <v>0</v>
      </c>
      <c r="N144" s="182">
        <v>0</v>
      </c>
      <c r="O144" s="153">
        <f t="shared" si="48"/>
        <v>0</v>
      </c>
    </row>
    <row r="145" spans="1:15" s="10" customFormat="1" ht="27" customHeight="1">
      <c r="A145" s="129"/>
      <c r="B145" s="402"/>
      <c r="C145" s="319"/>
      <c r="D145" s="37" t="s">
        <v>471</v>
      </c>
      <c r="E145" s="181">
        <f>3407.18</f>
        <v>3407.18</v>
      </c>
      <c r="F145" s="181">
        <v>0</v>
      </c>
      <c r="G145" s="182">
        <v>0</v>
      </c>
      <c r="H145" s="182">
        <v>0</v>
      </c>
      <c r="I145" s="182">
        <v>0</v>
      </c>
      <c r="J145" s="182">
        <v>0</v>
      </c>
      <c r="K145" s="182">
        <v>0</v>
      </c>
      <c r="L145" s="182">
        <v>0</v>
      </c>
      <c r="M145" s="182">
        <v>0</v>
      </c>
      <c r="N145" s="182">
        <v>0</v>
      </c>
      <c r="O145" s="153">
        <f t="shared" si="48"/>
        <v>0</v>
      </c>
    </row>
    <row r="146" spans="1:15" s="10" customFormat="1" ht="18.75" customHeight="1">
      <c r="A146" s="316"/>
      <c r="B146" s="400" t="s">
        <v>472</v>
      </c>
      <c r="C146" s="319"/>
      <c r="D146" s="37" t="s">
        <v>439</v>
      </c>
      <c r="E146" s="181">
        <v>23.6</v>
      </c>
      <c r="F146" s="181">
        <f>7748</f>
        <v>7748</v>
      </c>
      <c r="G146" s="182">
        <v>0</v>
      </c>
      <c r="H146" s="182">
        <v>0</v>
      </c>
      <c r="I146" s="182">
        <v>0</v>
      </c>
      <c r="J146" s="182">
        <v>0</v>
      </c>
      <c r="K146" s="182">
        <v>0</v>
      </c>
      <c r="L146" s="182">
        <v>0</v>
      </c>
      <c r="M146" s="182">
        <v>0</v>
      </c>
      <c r="N146" s="182">
        <v>0</v>
      </c>
      <c r="O146" s="153">
        <f t="shared" si="48"/>
        <v>0</v>
      </c>
    </row>
    <row r="147" spans="1:15" ht="45" customHeight="1">
      <c r="A147" s="316"/>
      <c r="B147" s="401"/>
      <c r="C147" s="319"/>
      <c r="D147" s="198" t="s">
        <v>440</v>
      </c>
      <c r="E147" s="181">
        <f>15264.7+15517+1756.725+14124.76</f>
        <v>46663.185</v>
      </c>
      <c r="F147" s="181">
        <f>3160.9+19394+3160.9+14902</f>
        <v>40617.8</v>
      </c>
      <c r="G147" s="182">
        <v>48189.4</v>
      </c>
      <c r="H147" s="182">
        <f>46469.4+3512</f>
        <v>49981.4</v>
      </c>
      <c r="I147" s="182">
        <f>53069.4+3512</f>
        <v>56581.4</v>
      </c>
      <c r="J147" s="182">
        <f>45000+4073.4</f>
        <v>49073.4</v>
      </c>
      <c r="K147" s="182">
        <f>45000+4073.4</f>
        <v>49073.4</v>
      </c>
      <c r="L147" s="182">
        <f>45000+4073.4</f>
        <v>49073.4</v>
      </c>
      <c r="M147" s="182">
        <f>45000+4073.4</f>
        <v>49073.4</v>
      </c>
      <c r="N147" s="182">
        <f>45000+4073.4</f>
        <v>49073.4</v>
      </c>
      <c r="O147" s="153">
        <f aca="true" t="shared" si="65" ref="O147:O216">SUM(G147:N147)</f>
        <v>400119.20000000007</v>
      </c>
    </row>
    <row r="148" spans="1:15" ht="18.75">
      <c r="A148" s="316"/>
      <c r="B148" s="401"/>
      <c r="C148" s="319"/>
      <c r="D148" s="198" t="s">
        <v>441</v>
      </c>
      <c r="E148" s="181">
        <f>1525.8+1.2+2800+195.1917</f>
        <v>4522.1917</v>
      </c>
      <c r="F148" s="181">
        <f>3159.64+351.211</f>
        <v>3510.8509999999997</v>
      </c>
      <c r="G148" s="182"/>
      <c r="H148" s="182"/>
      <c r="I148" s="182"/>
      <c r="J148" s="182"/>
      <c r="K148" s="182"/>
      <c r="L148" s="182"/>
      <c r="M148" s="182"/>
      <c r="N148" s="182"/>
      <c r="O148" s="153">
        <f t="shared" si="65"/>
        <v>0</v>
      </c>
    </row>
    <row r="149" spans="1:15" ht="18.75">
      <c r="A149" s="317"/>
      <c r="B149" s="402"/>
      <c r="C149" s="319"/>
      <c r="D149" s="198" t="s">
        <v>463</v>
      </c>
      <c r="E149" s="181">
        <f>40700+15300</f>
        <v>56000</v>
      </c>
      <c r="F149" s="181">
        <v>19400</v>
      </c>
      <c r="G149" s="182">
        <v>0</v>
      </c>
      <c r="H149" s="182">
        <v>0</v>
      </c>
      <c r="I149" s="182">
        <v>0</v>
      </c>
      <c r="J149" s="182">
        <v>0</v>
      </c>
      <c r="K149" s="182">
        <v>0</v>
      </c>
      <c r="L149" s="182">
        <v>0</v>
      </c>
      <c r="M149" s="182">
        <v>0</v>
      </c>
      <c r="N149" s="182">
        <v>0</v>
      </c>
      <c r="O149" s="153">
        <f t="shared" si="65"/>
        <v>0</v>
      </c>
    </row>
    <row r="150" spans="1:15" ht="30" customHeight="1">
      <c r="A150" s="194"/>
      <c r="B150" s="400" t="s">
        <v>473</v>
      </c>
      <c r="C150" s="319"/>
      <c r="D150" s="198" t="s">
        <v>439</v>
      </c>
      <c r="E150" s="181">
        <v>32223.6</v>
      </c>
      <c r="F150" s="181">
        <v>0</v>
      </c>
      <c r="G150" s="182">
        <v>0</v>
      </c>
      <c r="H150" s="182">
        <v>0</v>
      </c>
      <c r="I150" s="182">
        <v>0</v>
      </c>
      <c r="J150" s="182">
        <v>0</v>
      </c>
      <c r="K150" s="182">
        <v>0</v>
      </c>
      <c r="L150" s="182">
        <v>0</v>
      </c>
      <c r="M150" s="182">
        <v>0</v>
      </c>
      <c r="N150" s="182">
        <v>0</v>
      </c>
      <c r="O150" s="153">
        <f t="shared" si="65"/>
        <v>0</v>
      </c>
    </row>
    <row r="151" spans="1:15" s="10" customFormat="1" ht="18.75">
      <c r="A151" s="129"/>
      <c r="B151" s="401"/>
      <c r="C151" s="319"/>
      <c r="D151" s="37" t="s">
        <v>440</v>
      </c>
      <c r="E151" s="181">
        <v>1676.4</v>
      </c>
      <c r="F151" s="181">
        <f>15000</f>
        <v>15000</v>
      </c>
      <c r="G151" s="182">
        <v>3300</v>
      </c>
      <c r="H151" s="182">
        <v>1800</v>
      </c>
      <c r="I151" s="182">
        <v>1800</v>
      </c>
      <c r="J151" s="182">
        <v>1869.4</v>
      </c>
      <c r="K151" s="182">
        <v>1869.4</v>
      </c>
      <c r="L151" s="182">
        <v>1869.4</v>
      </c>
      <c r="M151" s="182">
        <v>1869.4</v>
      </c>
      <c r="N151" s="182">
        <v>1869.4</v>
      </c>
      <c r="O151" s="153">
        <f t="shared" si="65"/>
        <v>16246.999999999998</v>
      </c>
    </row>
    <row r="152" spans="1:15" s="10" customFormat="1" ht="18.75">
      <c r="A152" s="129"/>
      <c r="B152" s="402"/>
      <c r="C152" s="319"/>
      <c r="D152" s="37" t="s">
        <v>441</v>
      </c>
      <c r="E152" s="181"/>
      <c r="F152" s="181">
        <f>4500</f>
        <v>4500</v>
      </c>
      <c r="G152" s="182">
        <v>0</v>
      </c>
      <c r="H152" s="182">
        <v>0</v>
      </c>
      <c r="I152" s="182">
        <v>0</v>
      </c>
      <c r="J152" s="182">
        <v>0</v>
      </c>
      <c r="K152" s="182">
        <v>0</v>
      </c>
      <c r="L152" s="182">
        <v>0</v>
      </c>
      <c r="M152" s="182">
        <v>0</v>
      </c>
      <c r="N152" s="182">
        <v>0</v>
      </c>
      <c r="O152" s="153">
        <f t="shared" si="65"/>
        <v>0</v>
      </c>
    </row>
    <row r="153" spans="1:15" s="10" customFormat="1" ht="18.75">
      <c r="A153" s="129"/>
      <c r="B153" s="400" t="s">
        <v>474</v>
      </c>
      <c r="C153" s="319"/>
      <c r="D153" s="37" t="s">
        <v>439</v>
      </c>
      <c r="E153" s="181">
        <f>57</f>
        <v>57</v>
      </c>
      <c r="F153" s="181">
        <v>2410</v>
      </c>
      <c r="G153" s="182"/>
      <c r="H153" s="182"/>
      <c r="I153" s="182"/>
      <c r="J153" s="182"/>
      <c r="K153" s="182"/>
      <c r="L153" s="182"/>
      <c r="M153" s="182"/>
      <c r="N153" s="182"/>
      <c r="O153" s="153">
        <f t="shared" si="65"/>
        <v>0</v>
      </c>
    </row>
    <row r="154" spans="1:15" ht="30" customHeight="1">
      <c r="A154" s="374"/>
      <c r="B154" s="401"/>
      <c r="C154" s="319"/>
      <c r="D154" s="198" t="s">
        <v>440</v>
      </c>
      <c r="E154" s="181">
        <f>3+7000</f>
        <v>7003</v>
      </c>
      <c r="F154" s="181">
        <v>100</v>
      </c>
      <c r="G154" s="182"/>
      <c r="H154" s="182"/>
      <c r="I154" s="182"/>
      <c r="J154" s="182"/>
      <c r="K154" s="182"/>
      <c r="L154" s="182"/>
      <c r="M154" s="182"/>
      <c r="N154" s="182"/>
      <c r="O154" s="153">
        <f t="shared" si="65"/>
        <v>0</v>
      </c>
    </row>
    <row r="155" spans="1:15" ht="18.75">
      <c r="A155" s="376"/>
      <c r="B155" s="402"/>
      <c r="C155" s="319"/>
      <c r="D155" s="198" t="s">
        <v>441</v>
      </c>
      <c r="E155" s="181">
        <f>3000</f>
        <v>3000</v>
      </c>
      <c r="F155" s="181"/>
      <c r="G155" s="182"/>
      <c r="H155" s="182"/>
      <c r="I155" s="182"/>
      <c r="J155" s="182"/>
      <c r="K155" s="182"/>
      <c r="L155" s="182"/>
      <c r="M155" s="182"/>
      <c r="N155" s="182"/>
      <c r="O155" s="153">
        <f t="shared" si="65"/>
        <v>0</v>
      </c>
    </row>
    <row r="156" spans="1:15" s="10" customFormat="1" ht="18.75">
      <c r="A156" s="30"/>
      <c r="B156" s="400" t="s">
        <v>475</v>
      </c>
      <c r="C156" s="319"/>
      <c r="D156" s="37" t="s">
        <v>439</v>
      </c>
      <c r="E156" s="181">
        <v>2451.6</v>
      </c>
      <c r="F156" s="181">
        <f>1400+4000+50973</f>
        <v>56373</v>
      </c>
      <c r="G156" s="182">
        <v>0</v>
      </c>
      <c r="H156" s="182">
        <v>0</v>
      </c>
      <c r="I156" s="182">
        <v>0</v>
      </c>
      <c r="J156" s="182">
        <v>0</v>
      </c>
      <c r="K156" s="182">
        <v>0</v>
      </c>
      <c r="L156" s="182">
        <v>0</v>
      </c>
      <c r="M156" s="182">
        <v>0</v>
      </c>
      <c r="N156" s="182">
        <v>0</v>
      </c>
      <c r="O156" s="153">
        <f t="shared" si="65"/>
        <v>0</v>
      </c>
    </row>
    <row r="157" spans="1:15" ht="30" customHeight="1">
      <c r="A157" s="194"/>
      <c r="B157" s="401"/>
      <c r="C157" s="319"/>
      <c r="D157" s="198" t="s">
        <v>440</v>
      </c>
      <c r="E157" s="181">
        <f>128.6+12196.1</f>
        <v>12324.7</v>
      </c>
      <c r="F157" s="181">
        <f>21442.8+83992</f>
        <v>105434.8</v>
      </c>
      <c r="G157" s="182">
        <f>37900+3000+6000+2200+3000+5400</f>
        <v>57500</v>
      </c>
      <c r="H157" s="182">
        <v>70000</v>
      </c>
      <c r="I157" s="182">
        <v>70000</v>
      </c>
      <c r="J157" s="182">
        <v>70000</v>
      </c>
      <c r="K157" s="182">
        <v>70000</v>
      </c>
      <c r="L157" s="182">
        <v>70000</v>
      </c>
      <c r="M157" s="182">
        <v>70000</v>
      </c>
      <c r="N157" s="182">
        <v>70000</v>
      </c>
      <c r="O157" s="153">
        <f t="shared" si="65"/>
        <v>547500</v>
      </c>
    </row>
    <row r="158" spans="1:15" ht="18.75">
      <c r="A158" s="194"/>
      <c r="B158" s="402"/>
      <c r="C158" s="319"/>
      <c r="D158" s="198" t="s">
        <v>441</v>
      </c>
      <c r="E158" s="181">
        <f>2861.9</f>
        <v>2861.9</v>
      </c>
      <c r="F158" s="181">
        <v>899</v>
      </c>
      <c r="G158" s="182"/>
      <c r="H158" s="182"/>
      <c r="I158" s="182"/>
      <c r="J158" s="182"/>
      <c r="K158" s="182"/>
      <c r="L158" s="182"/>
      <c r="M158" s="182"/>
      <c r="N158" s="182"/>
      <c r="O158" s="153">
        <f t="shared" si="65"/>
        <v>0</v>
      </c>
    </row>
    <row r="159" spans="1:15" ht="18.75">
      <c r="A159" s="194"/>
      <c r="B159" s="403" t="s">
        <v>476</v>
      </c>
      <c r="C159" s="319"/>
      <c r="D159" s="198" t="s">
        <v>439</v>
      </c>
      <c r="E159" s="181">
        <f>21735.1</f>
        <v>21735.1</v>
      </c>
      <c r="F159" s="181">
        <f>44577.8</f>
        <v>44577.8</v>
      </c>
      <c r="G159" s="182">
        <v>24212.5</v>
      </c>
      <c r="H159" s="182">
        <v>0</v>
      </c>
      <c r="I159" s="182">
        <v>0</v>
      </c>
      <c r="J159" s="182">
        <v>0</v>
      </c>
      <c r="K159" s="182">
        <v>0</v>
      </c>
      <c r="L159" s="182">
        <v>0</v>
      </c>
      <c r="M159" s="182">
        <v>0</v>
      </c>
      <c r="N159" s="182">
        <v>0</v>
      </c>
      <c r="O159" s="153">
        <f t="shared" si="65"/>
        <v>24212.5</v>
      </c>
    </row>
    <row r="160" spans="1:15" ht="18.75">
      <c r="A160" s="194"/>
      <c r="B160" s="403"/>
      <c r="C160" s="319"/>
      <c r="D160" s="198" t="s">
        <v>440</v>
      </c>
      <c r="E160" s="181">
        <f>5059.7</f>
        <v>5059.7</v>
      </c>
      <c r="F160" s="181">
        <v>11893.8</v>
      </c>
      <c r="G160" s="182">
        <v>9825</v>
      </c>
      <c r="H160" s="182">
        <f>5286.5+6685</f>
        <v>11971.5</v>
      </c>
      <c r="I160" s="182">
        <f aca="true" t="shared" si="66" ref="I160:N160">5286.5+6685</f>
        <v>11971.5</v>
      </c>
      <c r="J160" s="182">
        <f t="shared" si="66"/>
        <v>11971.5</v>
      </c>
      <c r="K160" s="182">
        <f t="shared" si="66"/>
        <v>11971.5</v>
      </c>
      <c r="L160" s="182">
        <f t="shared" si="66"/>
        <v>11971.5</v>
      </c>
      <c r="M160" s="182">
        <f t="shared" si="66"/>
        <v>11971.5</v>
      </c>
      <c r="N160" s="182">
        <f t="shared" si="66"/>
        <v>11971.5</v>
      </c>
      <c r="O160" s="153">
        <f t="shared" si="65"/>
        <v>93625.5</v>
      </c>
    </row>
    <row r="161" spans="1:15" ht="18.75">
      <c r="A161" s="194"/>
      <c r="B161" s="403"/>
      <c r="C161" s="319"/>
      <c r="D161" s="198" t="s">
        <v>441</v>
      </c>
      <c r="E161" s="181">
        <v>1777.723</v>
      </c>
      <c r="F161" s="181">
        <v>2129.387</v>
      </c>
      <c r="G161" s="182">
        <v>0</v>
      </c>
      <c r="H161" s="182">
        <v>0</v>
      </c>
      <c r="I161" s="182">
        <v>0</v>
      </c>
      <c r="J161" s="182">
        <v>0</v>
      </c>
      <c r="K161" s="182">
        <v>0</v>
      </c>
      <c r="L161" s="182">
        <v>0</v>
      </c>
      <c r="M161" s="182">
        <v>0</v>
      </c>
      <c r="N161" s="182">
        <v>0</v>
      </c>
      <c r="O161" s="153">
        <f t="shared" si="65"/>
        <v>0</v>
      </c>
    </row>
    <row r="162" spans="1:15" ht="18.75">
      <c r="A162" s="194"/>
      <c r="B162" s="403"/>
      <c r="C162" s="320"/>
      <c r="D162" s="198" t="s">
        <v>463</v>
      </c>
      <c r="E162" s="181">
        <v>1976.568</v>
      </c>
      <c r="F162" s="181">
        <v>3084.275</v>
      </c>
      <c r="G162" s="182"/>
      <c r="H162" s="182"/>
      <c r="I162" s="182"/>
      <c r="J162" s="182"/>
      <c r="K162" s="182"/>
      <c r="L162" s="182"/>
      <c r="M162" s="182"/>
      <c r="N162" s="182"/>
      <c r="O162" s="153">
        <f t="shared" si="65"/>
        <v>0</v>
      </c>
    </row>
    <row r="163" spans="1:15" ht="18.75">
      <c r="A163" s="192"/>
      <c r="B163" s="380" t="s">
        <v>477</v>
      </c>
      <c r="C163" s="380" t="s">
        <v>9</v>
      </c>
      <c r="D163" s="198" t="s">
        <v>478</v>
      </c>
      <c r="E163" s="181">
        <f>E164+E165</f>
        <v>41132.8</v>
      </c>
      <c r="F163" s="181">
        <f aca="true" t="shared" si="67" ref="F163:N163">F164+F165</f>
        <v>62480.3</v>
      </c>
      <c r="G163" s="182">
        <f t="shared" si="67"/>
        <v>8345</v>
      </c>
      <c r="H163" s="182">
        <f t="shared" si="67"/>
        <v>0</v>
      </c>
      <c r="I163" s="182">
        <f t="shared" si="67"/>
        <v>0</v>
      </c>
      <c r="J163" s="182">
        <f t="shared" si="67"/>
        <v>0</v>
      </c>
      <c r="K163" s="182">
        <f t="shared" si="67"/>
        <v>0</v>
      </c>
      <c r="L163" s="182">
        <f t="shared" si="67"/>
        <v>0</v>
      </c>
      <c r="M163" s="182">
        <f t="shared" si="67"/>
        <v>0</v>
      </c>
      <c r="N163" s="182">
        <f t="shared" si="67"/>
        <v>0</v>
      </c>
      <c r="O163" s="153">
        <f t="shared" si="65"/>
        <v>8345</v>
      </c>
    </row>
    <row r="164" spans="1:15" ht="63" customHeight="1">
      <c r="A164" s="397" t="s">
        <v>179</v>
      </c>
      <c r="B164" s="382"/>
      <c r="C164" s="382"/>
      <c r="D164" s="197" t="s">
        <v>439</v>
      </c>
      <c r="E164" s="181">
        <f>E166</f>
        <v>24500</v>
      </c>
      <c r="F164" s="181">
        <f>F166</f>
        <v>50280</v>
      </c>
      <c r="G164" s="182">
        <f aca="true" t="shared" si="68" ref="G164:N165">G166</f>
        <v>0</v>
      </c>
      <c r="H164" s="182">
        <f t="shared" si="68"/>
        <v>0</v>
      </c>
      <c r="I164" s="182">
        <f t="shared" si="68"/>
        <v>0</v>
      </c>
      <c r="J164" s="182">
        <f t="shared" si="68"/>
        <v>0</v>
      </c>
      <c r="K164" s="182">
        <f t="shared" si="68"/>
        <v>0</v>
      </c>
      <c r="L164" s="182">
        <f t="shared" si="68"/>
        <v>0</v>
      </c>
      <c r="M164" s="182">
        <f t="shared" si="68"/>
        <v>0</v>
      </c>
      <c r="N164" s="182">
        <f t="shared" si="68"/>
        <v>0</v>
      </c>
      <c r="O164" s="153">
        <f t="shared" si="65"/>
        <v>0</v>
      </c>
    </row>
    <row r="165" spans="1:15" ht="18.75">
      <c r="A165" s="399"/>
      <c r="B165" s="381"/>
      <c r="C165" s="381"/>
      <c r="D165" s="197" t="s">
        <v>440</v>
      </c>
      <c r="E165" s="181">
        <f>E167</f>
        <v>16632.8</v>
      </c>
      <c r="F165" s="181">
        <f>F167</f>
        <v>12200.3</v>
      </c>
      <c r="G165" s="182">
        <f t="shared" si="68"/>
        <v>8345</v>
      </c>
      <c r="H165" s="182">
        <f t="shared" si="68"/>
        <v>0</v>
      </c>
      <c r="I165" s="182">
        <f t="shared" si="68"/>
        <v>0</v>
      </c>
      <c r="J165" s="182">
        <f t="shared" si="68"/>
        <v>0</v>
      </c>
      <c r="K165" s="182">
        <f t="shared" si="68"/>
        <v>0</v>
      </c>
      <c r="L165" s="182">
        <f t="shared" si="68"/>
        <v>0</v>
      </c>
      <c r="M165" s="182">
        <f t="shared" si="68"/>
        <v>0</v>
      </c>
      <c r="N165" s="182">
        <f t="shared" si="68"/>
        <v>0</v>
      </c>
      <c r="O165" s="153">
        <f t="shared" si="65"/>
        <v>8345</v>
      </c>
    </row>
    <row r="166" spans="1:15" ht="18.75">
      <c r="A166" s="16"/>
      <c r="B166" s="288" t="s">
        <v>479</v>
      </c>
      <c r="C166" s="19"/>
      <c r="D166" s="198" t="s">
        <v>439</v>
      </c>
      <c r="E166" s="181">
        <v>24500</v>
      </c>
      <c r="F166" s="181">
        <v>50280</v>
      </c>
      <c r="G166" s="182"/>
      <c r="H166" s="182"/>
      <c r="I166" s="182"/>
      <c r="J166" s="182"/>
      <c r="K166" s="182"/>
      <c r="L166" s="182"/>
      <c r="M166" s="182"/>
      <c r="N166" s="182"/>
      <c r="O166" s="153">
        <f t="shared" si="65"/>
        <v>0</v>
      </c>
    </row>
    <row r="167" spans="1:15" ht="18.75">
      <c r="A167" s="16"/>
      <c r="B167" s="289"/>
      <c r="C167" s="19"/>
      <c r="D167" s="198" t="s">
        <v>440</v>
      </c>
      <c r="E167" s="181">
        <v>16632.8</v>
      </c>
      <c r="F167" s="181">
        <f>2200.3+10000</f>
        <v>12200.3</v>
      </c>
      <c r="G167" s="182">
        <v>8345</v>
      </c>
      <c r="H167" s="182"/>
      <c r="I167" s="182"/>
      <c r="J167" s="182"/>
      <c r="K167" s="182"/>
      <c r="L167" s="182"/>
      <c r="M167" s="182"/>
      <c r="N167" s="182"/>
      <c r="O167" s="153">
        <f t="shared" si="65"/>
        <v>8345</v>
      </c>
    </row>
    <row r="168" spans="1:15" ht="24" customHeight="1">
      <c r="A168" s="16"/>
      <c r="B168" s="380" t="s">
        <v>480</v>
      </c>
      <c r="C168" s="380" t="s">
        <v>9</v>
      </c>
      <c r="D168" s="210" t="s">
        <v>481</v>
      </c>
      <c r="E168" s="181">
        <f>E169+E170</f>
        <v>44845</v>
      </c>
      <c r="F168" s="181">
        <f aca="true" t="shared" si="69" ref="F168:N168">F169+F170</f>
        <v>215610</v>
      </c>
      <c r="G168" s="188">
        <f t="shared" si="69"/>
        <v>171199.1</v>
      </c>
      <c r="H168" s="188">
        <f t="shared" si="69"/>
        <v>108450</v>
      </c>
      <c r="I168" s="188">
        <f t="shared" si="69"/>
        <v>155100</v>
      </c>
      <c r="J168" s="182">
        <f t="shared" si="69"/>
        <v>0</v>
      </c>
      <c r="K168" s="182">
        <f t="shared" si="69"/>
        <v>0</v>
      </c>
      <c r="L168" s="182">
        <f t="shared" si="69"/>
        <v>0</v>
      </c>
      <c r="M168" s="182">
        <f t="shared" si="69"/>
        <v>0</v>
      </c>
      <c r="N168" s="182">
        <f t="shared" si="69"/>
        <v>0</v>
      </c>
      <c r="O168" s="153">
        <f t="shared" si="65"/>
        <v>434749.1</v>
      </c>
    </row>
    <row r="169" spans="1:15" ht="18.75">
      <c r="A169" s="83" t="s">
        <v>179</v>
      </c>
      <c r="B169" s="382"/>
      <c r="C169" s="382"/>
      <c r="D169" s="197" t="s">
        <v>439</v>
      </c>
      <c r="E169" s="181">
        <f>E171</f>
        <v>0</v>
      </c>
      <c r="F169" s="181">
        <f>F171</f>
        <v>210610</v>
      </c>
      <c r="G169" s="182">
        <f aca="true" t="shared" si="70" ref="G169:N170">G171</f>
        <v>127124.5</v>
      </c>
      <c r="H169" s="182">
        <f t="shared" si="70"/>
        <v>83080</v>
      </c>
      <c r="I169" s="182">
        <f t="shared" si="70"/>
        <v>118810</v>
      </c>
      <c r="J169" s="182">
        <f t="shared" si="70"/>
        <v>0</v>
      </c>
      <c r="K169" s="182">
        <f t="shared" si="70"/>
        <v>0</v>
      </c>
      <c r="L169" s="182">
        <f t="shared" si="70"/>
        <v>0</v>
      </c>
      <c r="M169" s="182">
        <f t="shared" si="70"/>
        <v>0</v>
      </c>
      <c r="N169" s="182">
        <f t="shared" si="70"/>
        <v>0</v>
      </c>
      <c r="O169" s="153">
        <f t="shared" si="65"/>
        <v>329014.5</v>
      </c>
    </row>
    <row r="170" spans="1:15" ht="27.75" customHeight="1">
      <c r="A170" s="83"/>
      <c r="B170" s="381"/>
      <c r="C170" s="381"/>
      <c r="D170" s="209" t="s">
        <v>440</v>
      </c>
      <c r="E170" s="181">
        <f>E172</f>
        <v>44845</v>
      </c>
      <c r="F170" s="181">
        <f>F172</f>
        <v>5000</v>
      </c>
      <c r="G170" s="182">
        <f t="shared" si="70"/>
        <v>44074.6</v>
      </c>
      <c r="H170" s="182">
        <f t="shared" si="70"/>
        <v>25370</v>
      </c>
      <c r="I170" s="182">
        <f t="shared" si="70"/>
        <v>36290</v>
      </c>
      <c r="J170" s="182">
        <f t="shared" si="70"/>
        <v>0</v>
      </c>
      <c r="K170" s="182">
        <f t="shared" si="70"/>
        <v>0</v>
      </c>
      <c r="L170" s="182">
        <f t="shared" si="70"/>
        <v>0</v>
      </c>
      <c r="M170" s="182">
        <f t="shared" si="70"/>
        <v>0</v>
      </c>
      <c r="N170" s="182">
        <f t="shared" si="70"/>
        <v>0</v>
      </c>
      <c r="O170" s="153">
        <f t="shared" si="65"/>
        <v>105734.6</v>
      </c>
    </row>
    <row r="171" spans="1:15" ht="47.25" customHeight="1">
      <c r="A171" s="16"/>
      <c r="B171" s="404" t="s">
        <v>482</v>
      </c>
      <c r="C171" s="19"/>
      <c r="D171" s="211" t="s">
        <v>439</v>
      </c>
      <c r="E171" s="181">
        <v>0</v>
      </c>
      <c r="F171" s="181">
        <v>210610</v>
      </c>
      <c r="G171" s="182">
        <f>69128.5+51939.9+6056.1</f>
        <v>127124.5</v>
      </c>
      <c r="H171" s="182">
        <v>83080</v>
      </c>
      <c r="I171" s="182">
        <v>118810</v>
      </c>
      <c r="J171" s="182">
        <v>0</v>
      </c>
      <c r="K171" s="182">
        <v>0</v>
      </c>
      <c r="L171" s="182">
        <v>0</v>
      </c>
      <c r="M171" s="182">
        <v>0</v>
      </c>
      <c r="N171" s="182">
        <v>0</v>
      </c>
      <c r="O171" s="153">
        <f t="shared" si="65"/>
        <v>329014.5</v>
      </c>
    </row>
    <row r="172" spans="1:15" ht="18.75">
      <c r="A172" s="2"/>
      <c r="B172" s="404"/>
      <c r="C172" s="2"/>
      <c r="D172" s="198" t="s">
        <v>440</v>
      </c>
      <c r="E172" s="181">
        <f>35345+9500</f>
        <v>44845</v>
      </c>
      <c r="F172" s="181">
        <v>5000</v>
      </c>
      <c r="G172" s="182">
        <f>21224.8+2509.3+20340.5</f>
        <v>44074.6</v>
      </c>
      <c r="H172" s="182">
        <v>25370</v>
      </c>
      <c r="I172" s="182">
        <v>36290</v>
      </c>
      <c r="J172" s="182">
        <v>0</v>
      </c>
      <c r="K172" s="182">
        <v>0</v>
      </c>
      <c r="L172" s="182">
        <v>0</v>
      </c>
      <c r="M172" s="182">
        <v>0</v>
      </c>
      <c r="N172" s="182">
        <v>0</v>
      </c>
      <c r="O172" s="153">
        <f t="shared" si="65"/>
        <v>105734.6</v>
      </c>
    </row>
    <row r="173" spans="1:16" ht="173.25">
      <c r="A173" s="83" t="s">
        <v>179</v>
      </c>
      <c r="B173" s="205" t="s">
        <v>483</v>
      </c>
      <c r="C173" s="185" t="s">
        <v>106</v>
      </c>
      <c r="D173" s="197" t="s">
        <v>154</v>
      </c>
      <c r="E173" s="181">
        <v>260.4</v>
      </c>
      <c r="F173" s="181">
        <f>900</f>
        <v>900</v>
      </c>
      <c r="G173" s="44">
        <v>96305.7</v>
      </c>
      <c r="H173" s="44">
        <v>103164.7</v>
      </c>
      <c r="I173" s="44">
        <v>97960.2</v>
      </c>
      <c r="J173" s="44">
        <v>84230.3</v>
      </c>
      <c r="K173" s="44">
        <v>84230.3</v>
      </c>
      <c r="L173" s="44">
        <v>84230.3</v>
      </c>
      <c r="M173" s="44">
        <v>84230.3</v>
      </c>
      <c r="N173" s="44">
        <v>84230.3</v>
      </c>
      <c r="O173" s="153">
        <f t="shared" si="65"/>
        <v>718582.1000000001</v>
      </c>
      <c r="P173" s="212"/>
    </row>
    <row r="174" spans="1:15" ht="75.75" customHeight="1">
      <c r="A174" s="83" t="s">
        <v>179</v>
      </c>
      <c r="B174" s="205" t="s">
        <v>490</v>
      </c>
      <c r="C174" s="185" t="s">
        <v>106</v>
      </c>
      <c r="D174" s="197" t="s">
        <v>154</v>
      </c>
      <c r="E174" s="181">
        <v>0</v>
      </c>
      <c r="F174" s="181">
        <v>0</v>
      </c>
      <c r="G174" s="44">
        <v>10000</v>
      </c>
      <c r="H174" s="44">
        <v>9000</v>
      </c>
      <c r="I174" s="44"/>
      <c r="J174" s="44"/>
      <c r="K174" s="44"/>
      <c r="L174" s="44"/>
      <c r="M174" s="44"/>
      <c r="N174" s="44"/>
      <c r="O174" s="153">
        <f t="shared" si="65"/>
        <v>19000</v>
      </c>
    </row>
    <row r="175" spans="1:15" ht="173.25">
      <c r="A175" s="83" t="s">
        <v>179</v>
      </c>
      <c r="B175" s="205" t="s">
        <v>202</v>
      </c>
      <c r="C175" s="185" t="s">
        <v>106</v>
      </c>
      <c r="D175" s="197" t="s">
        <v>154</v>
      </c>
      <c r="E175" s="181">
        <v>0</v>
      </c>
      <c r="F175" s="181">
        <f>2664.8+18862.1+5832.3+3008.9</f>
        <v>30368.1</v>
      </c>
      <c r="G175" s="44">
        <v>34441.2</v>
      </c>
      <c r="H175" s="44">
        <v>33603.2</v>
      </c>
      <c r="I175" s="44">
        <v>32568.9</v>
      </c>
      <c r="J175" s="44">
        <f>2699.4+19474.5+6634+2951.8</f>
        <v>31759.7</v>
      </c>
      <c r="K175" s="44">
        <f>2699.4+19474.5+6634+2951.8</f>
        <v>31759.7</v>
      </c>
      <c r="L175" s="44">
        <f>2699.4+19474.5+6634+2951.8</f>
        <v>31759.7</v>
      </c>
      <c r="M175" s="44">
        <f>2699.4+19474.5+6634+2951.8</f>
        <v>31759.7</v>
      </c>
      <c r="N175" s="44">
        <f>2699.4+19474.5+6634+2951.8</f>
        <v>31759.7</v>
      </c>
      <c r="O175" s="153">
        <f t="shared" si="65"/>
        <v>259411.80000000005</v>
      </c>
    </row>
    <row r="176" spans="1:15" ht="122.25" customHeight="1">
      <c r="A176" s="83"/>
      <c r="B176" s="205" t="s">
        <v>115</v>
      </c>
      <c r="C176" s="213" t="s">
        <v>60</v>
      </c>
      <c r="D176" s="214"/>
      <c r="E176" s="181"/>
      <c r="F176" s="181"/>
      <c r="G176" s="44">
        <v>3000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153">
        <f t="shared" si="65"/>
        <v>3000</v>
      </c>
    </row>
    <row r="177" spans="1:15" ht="135.75" customHeight="1">
      <c r="A177" s="83"/>
      <c r="B177" s="380" t="s">
        <v>484</v>
      </c>
      <c r="C177" s="380" t="s">
        <v>9</v>
      </c>
      <c r="D177" s="214"/>
      <c r="E177" s="181"/>
      <c r="F177" s="181"/>
      <c r="G177" s="44">
        <f>G178+G180+G179</f>
        <v>17009.3</v>
      </c>
      <c r="H177" s="44">
        <f aca="true" t="shared" si="71" ref="H177:N177">H178+H180+H179</f>
        <v>38008.4</v>
      </c>
      <c r="I177" s="44">
        <f t="shared" si="71"/>
        <v>38008.4</v>
      </c>
      <c r="J177" s="44">
        <f t="shared" si="71"/>
        <v>38008.4</v>
      </c>
      <c r="K177" s="44">
        <f t="shared" si="71"/>
        <v>38008.4</v>
      </c>
      <c r="L177" s="44">
        <f t="shared" si="71"/>
        <v>38008.4</v>
      </c>
      <c r="M177" s="44">
        <f t="shared" si="71"/>
        <v>38008.4</v>
      </c>
      <c r="N177" s="44">
        <f t="shared" si="71"/>
        <v>38008.4</v>
      </c>
      <c r="O177" s="153">
        <f t="shared" si="65"/>
        <v>283068.1</v>
      </c>
    </row>
    <row r="178" spans="1:15" ht="29.25" customHeight="1">
      <c r="A178" s="83"/>
      <c r="B178" s="382"/>
      <c r="C178" s="382"/>
      <c r="D178" s="214"/>
      <c r="E178" s="181"/>
      <c r="F178" s="181"/>
      <c r="G178" s="44">
        <v>16957</v>
      </c>
      <c r="H178" s="44">
        <v>17939</v>
      </c>
      <c r="I178" s="44">
        <v>17939</v>
      </c>
      <c r="J178" s="44">
        <v>17939</v>
      </c>
      <c r="K178" s="44">
        <v>17939</v>
      </c>
      <c r="L178" s="44">
        <v>17939</v>
      </c>
      <c r="M178" s="44">
        <v>17939</v>
      </c>
      <c r="N178" s="44">
        <v>17939</v>
      </c>
      <c r="O178" s="153">
        <f t="shared" si="65"/>
        <v>142530</v>
      </c>
    </row>
    <row r="179" spans="1:15" ht="29.25" customHeight="1">
      <c r="A179" s="83"/>
      <c r="B179" s="382"/>
      <c r="C179" s="382"/>
      <c r="D179" s="214"/>
      <c r="E179" s="181"/>
      <c r="F179" s="181"/>
      <c r="G179" s="44">
        <v>0</v>
      </c>
      <c r="H179" s="44">
        <v>20000</v>
      </c>
      <c r="I179" s="44">
        <v>20000</v>
      </c>
      <c r="J179" s="44">
        <v>20000</v>
      </c>
      <c r="K179" s="44">
        <v>20000</v>
      </c>
      <c r="L179" s="44">
        <v>20000</v>
      </c>
      <c r="M179" s="44">
        <v>20000</v>
      </c>
      <c r="N179" s="44">
        <v>20000</v>
      </c>
      <c r="O179" s="153">
        <f t="shared" si="65"/>
        <v>140000</v>
      </c>
    </row>
    <row r="180" spans="1:15" ht="40.5" customHeight="1">
      <c r="A180" s="83"/>
      <c r="B180" s="381"/>
      <c r="C180" s="381"/>
      <c r="D180" s="214"/>
      <c r="E180" s="181"/>
      <c r="F180" s="181"/>
      <c r="G180" s="44">
        <v>52.3</v>
      </c>
      <c r="H180" s="44">
        <v>69.4</v>
      </c>
      <c r="I180" s="44">
        <v>69.4</v>
      </c>
      <c r="J180" s="44">
        <v>69.4</v>
      </c>
      <c r="K180" s="44">
        <v>69.4</v>
      </c>
      <c r="L180" s="44">
        <v>69.4</v>
      </c>
      <c r="M180" s="44">
        <v>69.4</v>
      </c>
      <c r="N180" s="44">
        <v>69.4</v>
      </c>
      <c r="O180" s="153">
        <f t="shared" si="65"/>
        <v>538.0999999999999</v>
      </c>
    </row>
    <row r="181" spans="1:15" ht="204.75">
      <c r="A181" s="83"/>
      <c r="B181" s="215" t="s">
        <v>212</v>
      </c>
      <c r="C181" s="216" t="s">
        <v>136</v>
      </c>
      <c r="D181" s="214"/>
      <c r="E181" s="181"/>
      <c r="F181" s="181"/>
      <c r="G181" s="44">
        <v>129.1</v>
      </c>
      <c r="H181" s="44">
        <v>129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153">
        <f t="shared" si="65"/>
        <v>258.1</v>
      </c>
    </row>
    <row r="182" spans="1:15" s="10" customFormat="1" ht="31.5" customHeight="1">
      <c r="A182" s="405" t="s">
        <v>193</v>
      </c>
      <c r="B182" s="406" t="s">
        <v>194</v>
      </c>
      <c r="C182" s="217"/>
      <c r="D182" s="217" t="s">
        <v>135</v>
      </c>
      <c r="E182" s="181">
        <f>E183+E184+E185</f>
        <v>3023287.978</v>
      </c>
      <c r="F182" s="181">
        <f aca="true" t="shared" si="72" ref="F182:N182">F183+F184+F185</f>
        <v>829701.87</v>
      </c>
      <c r="G182" s="182">
        <f t="shared" si="72"/>
        <v>2094596.3</v>
      </c>
      <c r="H182" s="182">
        <f t="shared" si="72"/>
        <v>733592.3</v>
      </c>
      <c r="I182" s="182">
        <f t="shared" si="72"/>
        <v>738811.3</v>
      </c>
      <c r="J182" s="182">
        <f t="shared" si="72"/>
        <v>740213.3</v>
      </c>
      <c r="K182" s="182">
        <f>K183+K184+K185</f>
        <v>740213.3</v>
      </c>
      <c r="L182" s="182">
        <f t="shared" si="72"/>
        <v>740213.3</v>
      </c>
      <c r="M182" s="182">
        <f t="shared" si="72"/>
        <v>740213.3</v>
      </c>
      <c r="N182" s="182">
        <f t="shared" si="72"/>
        <v>740213.3</v>
      </c>
      <c r="O182" s="153">
        <f t="shared" si="65"/>
        <v>7268066.399999999</v>
      </c>
    </row>
    <row r="183" spans="1:15" s="10" customFormat="1" ht="31.5" customHeight="1">
      <c r="A183" s="405"/>
      <c r="B183" s="406"/>
      <c r="C183" s="217"/>
      <c r="D183" s="217" t="s">
        <v>439</v>
      </c>
      <c r="E183" s="181">
        <f>E208+E213</f>
        <v>2014270</v>
      </c>
      <c r="F183" s="181">
        <f aca="true" t="shared" si="73" ref="F183:N183">F208+F213</f>
        <v>744.75</v>
      </c>
      <c r="G183" s="182">
        <f t="shared" si="73"/>
        <v>1272335</v>
      </c>
      <c r="H183" s="182">
        <f t="shared" si="73"/>
        <v>0</v>
      </c>
      <c r="I183" s="182">
        <f t="shared" si="73"/>
        <v>0</v>
      </c>
      <c r="J183" s="218">
        <f t="shared" si="73"/>
        <v>0</v>
      </c>
      <c r="K183" s="182">
        <f>K208+K213</f>
        <v>0</v>
      </c>
      <c r="L183" s="182">
        <f t="shared" si="73"/>
        <v>0</v>
      </c>
      <c r="M183" s="182">
        <f t="shared" si="73"/>
        <v>0</v>
      </c>
      <c r="N183" s="182">
        <f t="shared" si="73"/>
        <v>0</v>
      </c>
      <c r="O183" s="153">
        <f t="shared" si="65"/>
        <v>1272335</v>
      </c>
    </row>
    <row r="184" spans="1:15" s="10" customFormat="1" ht="15.75">
      <c r="A184" s="405"/>
      <c r="B184" s="406"/>
      <c r="C184" s="217"/>
      <c r="D184" s="217" t="s">
        <v>440</v>
      </c>
      <c r="E184" s="181">
        <f>E209+E212+E217+E240+E242+E244+E218</f>
        <v>1008266.9</v>
      </c>
      <c r="F184" s="181">
        <f>F209+F212+F217+F240+F242+F244+F218</f>
        <v>819877.75</v>
      </c>
      <c r="G184" s="182">
        <f>G209+G212+G217+G240+G242+G244+G218</f>
        <v>822261.3</v>
      </c>
      <c r="H184" s="182">
        <f aca="true" t="shared" si="74" ref="H184:N184">H209+H212+H217+H240+H242+H244+H218</f>
        <v>733592.3</v>
      </c>
      <c r="I184" s="182">
        <f t="shared" si="74"/>
        <v>738811.3</v>
      </c>
      <c r="J184" s="182">
        <f t="shared" si="74"/>
        <v>740213.3</v>
      </c>
      <c r="K184" s="182">
        <f t="shared" si="74"/>
        <v>740213.3</v>
      </c>
      <c r="L184" s="182">
        <f t="shared" si="74"/>
        <v>740213.3</v>
      </c>
      <c r="M184" s="182">
        <f t="shared" si="74"/>
        <v>740213.3</v>
      </c>
      <c r="N184" s="182">
        <f t="shared" si="74"/>
        <v>740213.3</v>
      </c>
      <c r="O184" s="153">
        <f t="shared" si="65"/>
        <v>5995731.399999999</v>
      </c>
    </row>
    <row r="185" spans="1:15" s="10" customFormat="1" ht="15.75">
      <c r="A185" s="405"/>
      <c r="B185" s="406"/>
      <c r="C185" s="217"/>
      <c r="D185" s="217" t="s">
        <v>441</v>
      </c>
      <c r="E185" s="181">
        <f>E210</f>
        <v>751.078</v>
      </c>
      <c r="F185" s="181">
        <f>F210</f>
        <v>9079.37</v>
      </c>
      <c r="G185" s="182"/>
      <c r="H185" s="182"/>
      <c r="I185" s="182"/>
      <c r="J185" s="182"/>
      <c r="K185" s="182"/>
      <c r="L185" s="182"/>
      <c r="M185" s="182"/>
      <c r="N185" s="182"/>
      <c r="O185" s="153">
        <f t="shared" si="65"/>
        <v>0</v>
      </c>
    </row>
    <row r="186" spans="1:15" s="10" customFormat="1" ht="47.25">
      <c r="A186" s="405"/>
      <c r="B186" s="406"/>
      <c r="C186" s="219" t="s">
        <v>177</v>
      </c>
      <c r="D186" s="220"/>
      <c r="E186" s="181">
        <f>E209+E212+E217+E219+E240</f>
        <v>1006851.4</v>
      </c>
      <c r="F186" s="181">
        <f>F209+F212+F217+F219+F240+F210</f>
        <v>826557.12</v>
      </c>
      <c r="G186" s="182">
        <f>G209+G212+G217+G219+G240+G208</f>
        <v>2090982.3</v>
      </c>
      <c r="H186" s="182">
        <f>H209+H212+H217+H219+H240+H208</f>
        <v>732478.3</v>
      </c>
      <c r="I186" s="182">
        <f aca="true" t="shared" si="75" ref="I186:N186">I209+I212+I217+I219+I240+I208</f>
        <v>737697.3</v>
      </c>
      <c r="J186" s="182">
        <f t="shared" si="75"/>
        <v>739099.3</v>
      </c>
      <c r="K186" s="182">
        <f t="shared" si="75"/>
        <v>739099.3</v>
      </c>
      <c r="L186" s="182">
        <f t="shared" si="75"/>
        <v>739099.3</v>
      </c>
      <c r="M186" s="182">
        <f t="shared" si="75"/>
        <v>739099.3</v>
      </c>
      <c r="N186" s="182">
        <f t="shared" si="75"/>
        <v>739099.3</v>
      </c>
      <c r="O186" s="153">
        <f t="shared" si="65"/>
        <v>7256654.399999999</v>
      </c>
    </row>
    <row r="187" spans="1:15" s="10" customFormat="1" ht="47.25">
      <c r="A187" s="405"/>
      <c r="B187" s="406"/>
      <c r="C187" s="219" t="s">
        <v>178</v>
      </c>
      <c r="D187" s="220"/>
      <c r="E187" s="181">
        <f aca="true" t="shared" si="76" ref="E187:N195">E220</f>
        <v>0</v>
      </c>
      <c r="F187" s="181">
        <f t="shared" si="76"/>
        <v>0</v>
      </c>
      <c r="G187" s="182">
        <f t="shared" si="76"/>
        <v>0</v>
      </c>
      <c r="H187" s="182">
        <f t="shared" si="76"/>
        <v>0</v>
      </c>
      <c r="I187" s="182">
        <f t="shared" si="76"/>
        <v>0</v>
      </c>
      <c r="J187" s="182">
        <f t="shared" si="76"/>
        <v>0</v>
      </c>
      <c r="K187" s="182">
        <f t="shared" si="76"/>
        <v>0</v>
      </c>
      <c r="L187" s="182">
        <f t="shared" si="76"/>
        <v>0</v>
      </c>
      <c r="M187" s="182">
        <f t="shared" si="76"/>
        <v>0</v>
      </c>
      <c r="N187" s="182">
        <f t="shared" si="76"/>
        <v>0</v>
      </c>
      <c r="O187" s="153">
        <f t="shared" si="65"/>
        <v>0</v>
      </c>
    </row>
    <row r="188" spans="1:15" s="10" customFormat="1" ht="94.5">
      <c r="A188" s="405"/>
      <c r="B188" s="406"/>
      <c r="C188" s="219" t="s">
        <v>136</v>
      </c>
      <c r="D188" s="220"/>
      <c r="E188" s="181">
        <f t="shared" si="76"/>
        <v>0</v>
      </c>
      <c r="F188" s="181">
        <f t="shared" si="76"/>
        <v>0</v>
      </c>
      <c r="G188" s="182">
        <f t="shared" si="76"/>
        <v>0</v>
      </c>
      <c r="H188" s="182">
        <f t="shared" si="76"/>
        <v>0</v>
      </c>
      <c r="I188" s="182">
        <f t="shared" si="76"/>
        <v>0</v>
      </c>
      <c r="J188" s="182">
        <f t="shared" si="76"/>
        <v>0</v>
      </c>
      <c r="K188" s="182">
        <f t="shared" si="76"/>
        <v>0</v>
      </c>
      <c r="L188" s="182">
        <f t="shared" si="76"/>
        <v>0</v>
      </c>
      <c r="M188" s="182">
        <f t="shared" si="76"/>
        <v>0</v>
      </c>
      <c r="N188" s="182">
        <f t="shared" si="76"/>
        <v>0</v>
      </c>
      <c r="O188" s="153">
        <f t="shared" si="65"/>
        <v>0</v>
      </c>
    </row>
    <row r="189" spans="1:15" s="10" customFormat="1" ht="47.25">
      <c r="A189" s="405"/>
      <c r="B189" s="406"/>
      <c r="C189" s="219" t="s">
        <v>137</v>
      </c>
      <c r="D189" s="220"/>
      <c r="E189" s="181">
        <f t="shared" si="76"/>
        <v>171.8</v>
      </c>
      <c r="F189" s="181">
        <f t="shared" si="76"/>
        <v>0</v>
      </c>
      <c r="G189" s="182">
        <f t="shared" si="76"/>
        <v>0</v>
      </c>
      <c r="H189" s="182">
        <f t="shared" si="76"/>
        <v>0</v>
      </c>
      <c r="I189" s="182">
        <f t="shared" si="76"/>
        <v>0</v>
      </c>
      <c r="J189" s="182">
        <f t="shared" si="76"/>
        <v>0</v>
      </c>
      <c r="K189" s="182">
        <f t="shared" si="76"/>
        <v>0</v>
      </c>
      <c r="L189" s="182">
        <f t="shared" si="76"/>
        <v>0</v>
      </c>
      <c r="M189" s="182">
        <f t="shared" si="76"/>
        <v>0</v>
      </c>
      <c r="N189" s="182">
        <f t="shared" si="76"/>
        <v>0</v>
      </c>
      <c r="O189" s="153">
        <f t="shared" si="65"/>
        <v>0</v>
      </c>
    </row>
    <row r="190" spans="1:15" s="10" customFormat="1" ht="47.25">
      <c r="A190" s="405"/>
      <c r="B190" s="406"/>
      <c r="C190" s="219" t="s">
        <v>138</v>
      </c>
      <c r="D190" s="220"/>
      <c r="E190" s="181">
        <f t="shared" si="76"/>
        <v>0</v>
      </c>
      <c r="F190" s="181">
        <f aca="true" t="shared" si="77" ref="F190:N190">F225</f>
        <v>0</v>
      </c>
      <c r="G190" s="182">
        <f t="shared" si="77"/>
        <v>0</v>
      </c>
      <c r="H190" s="182">
        <f t="shared" si="77"/>
        <v>0</v>
      </c>
      <c r="I190" s="182">
        <f t="shared" si="77"/>
        <v>0</v>
      </c>
      <c r="J190" s="182">
        <f t="shared" si="77"/>
        <v>0</v>
      </c>
      <c r="K190" s="182">
        <f t="shared" si="77"/>
        <v>0</v>
      </c>
      <c r="L190" s="182">
        <f t="shared" si="77"/>
        <v>0</v>
      </c>
      <c r="M190" s="182">
        <f t="shared" si="77"/>
        <v>0</v>
      </c>
      <c r="N190" s="182">
        <f t="shared" si="77"/>
        <v>0</v>
      </c>
      <c r="O190" s="153">
        <f t="shared" si="65"/>
        <v>0</v>
      </c>
    </row>
    <row r="191" spans="1:15" s="10" customFormat="1" ht="47.25">
      <c r="A191" s="405"/>
      <c r="B191" s="406"/>
      <c r="C191" s="219" t="s">
        <v>139</v>
      </c>
      <c r="D191" s="220"/>
      <c r="E191" s="181">
        <f t="shared" si="76"/>
        <v>0</v>
      </c>
      <c r="F191" s="181">
        <f t="shared" si="76"/>
        <v>0</v>
      </c>
      <c r="G191" s="182">
        <f t="shared" si="76"/>
        <v>0</v>
      </c>
      <c r="H191" s="182">
        <f t="shared" si="76"/>
        <v>0</v>
      </c>
      <c r="I191" s="182">
        <f t="shared" si="76"/>
        <v>0</v>
      </c>
      <c r="J191" s="182">
        <f t="shared" si="76"/>
        <v>0</v>
      </c>
      <c r="K191" s="182">
        <f t="shared" si="76"/>
        <v>0</v>
      </c>
      <c r="L191" s="182">
        <f t="shared" si="76"/>
        <v>0</v>
      </c>
      <c r="M191" s="182">
        <f t="shared" si="76"/>
        <v>0</v>
      </c>
      <c r="N191" s="182">
        <f t="shared" si="76"/>
        <v>0</v>
      </c>
      <c r="O191" s="153">
        <f t="shared" si="65"/>
        <v>0</v>
      </c>
    </row>
    <row r="192" spans="1:15" s="10" customFormat="1" ht="94.5">
      <c r="A192" s="405"/>
      <c r="B192" s="406"/>
      <c r="C192" s="219" t="s">
        <v>140</v>
      </c>
      <c r="D192" s="220"/>
      <c r="E192" s="181">
        <f t="shared" si="76"/>
        <v>0</v>
      </c>
      <c r="F192" s="181">
        <f t="shared" si="76"/>
        <v>0</v>
      </c>
      <c r="G192" s="182">
        <f t="shared" si="76"/>
        <v>0</v>
      </c>
      <c r="H192" s="182">
        <f t="shared" si="76"/>
        <v>0</v>
      </c>
      <c r="I192" s="182">
        <f t="shared" si="76"/>
        <v>0</v>
      </c>
      <c r="J192" s="182">
        <f t="shared" si="76"/>
        <v>0</v>
      </c>
      <c r="K192" s="182">
        <f t="shared" si="76"/>
        <v>0</v>
      </c>
      <c r="L192" s="182">
        <f t="shared" si="76"/>
        <v>0</v>
      </c>
      <c r="M192" s="182">
        <f t="shared" si="76"/>
        <v>0</v>
      </c>
      <c r="N192" s="182">
        <f t="shared" si="76"/>
        <v>0</v>
      </c>
      <c r="O192" s="153">
        <f t="shared" si="65"/>
        <v>0</v>
      </c>
    </row>
    <row r="193" spans="1:15" s="10" customFormat="1" ht="31.5">
      <c r="A193" s="405"/>
      <c r="B193" s="406"/>
      <c r="C193" s="219" t="s">
        <v>60</v>
      </c>
      <c r="D193" s="220"/>
      <c r="E193" s="181">
        <f t="shared" si="76"/>
        <v>0</v>
      </c>
      <c r="F193" s="181">
        <f t="shared" si="76"/>
        <v>0</v>
      </c>
      <c r="G193" s="182">
        <f t="shared" si="76"/>
        <v>0</v>
      </c>
      <c r="H193" s="182">
        <f t="shared" si="76"/>
        <v>0</v>
      </c>
      <c r="I193" s="182">
        <f t="shared" si="76"/>
        <v>0</v>
      </c>
      <c r="J193" s="182">
        <f t="shared" si="76"/>
        <v>0</v>
      </c>
      <c r="K193" s="182">
        <f t="shared" si="76"/>
        <v>0</v>
      </c>
      <c r="L193" s="182">
        <f t="shared" si="76"/>
        <v>0</v>
      </c>
      <c r="M193" s="182">
        <f t="shared" si="76"/>
        <v>0</v>
      </c>
      <c r="N193" s="182">
        <f t="shared" si="76"/>
        <v>0</v>
      </c>
      <c r="O193" s="153">
        <f t="shared" si="65"/>
        <v>0</v>
      </c>
    </row>
    <row r="194" spans="1:15" s="10" customFormat="1" ht="63">
      <c r="A194" s="405"/>
      <c r="B194" s="406"/>
      <c r="C194" s="219" t="s">
        <v>141</v>
      </c>
      <c r="D194" s="220"/>
      <c r="E194" s="181">
        <f t="shared" si="76"/>
        <v>0</v>
      </c>
      <c r="F194" s="181">
        <f t="shared" si="76"/>
        <v>0</v>
      </c>
      <c r="G194" s="182">
        <f t="shared" si="76"/>
        <v>0</v>
      </c>
      <c r="H194" s="182">
        <f t="shared" si="76"/>
        <v>0</v>
      </c>
      <c r="I194" s="182">
        <f t="shared" si="76"/>
        <v>0</v>
      </c>
      <c r="J194" s="182">
        <f t="shared" si="76"/>
        <v>0</v>
      </c>
      <c r="K194" s="182">
        <f t="shared" si="76"/>
        <v>0</v>
      </c>
      <c r="L194" s="182">
        <f t="shared" si="76"/>
        <v>0</v>
      </c>
      <c r="M194" s="182">
        <f t="shared" si="76"/>
        <v>0</v>
      </c>
      <c r="N194" s="182">
        <f t="shared" si="76"/>
        <v>0</v>
      </c>
      <c r="O194" s="153">
        <f t="shared" si="65"/>
        <v>0</v>
      </c>
    </row>
    <row r="195" spans="1:15" s="10" customFormat="1" ht="78.75">
      <c r="A195" s="405"/>
      <c r="B195" s="406"/>
      <c r="C195" s="219" t="s">
        <v>150</v>
      </c>
      <c r="D195" s="220"/>
      <c r="E195" s="181">
        <f t="shared" si="76"/>
        <v>500</v>
      </c>
      <c r="F195" s="181">
        <f t="shared" si="76"/>
        <v>0</v>
      </c>
      <c r="G195" s="182">
        <f t="shared" si="76"/>
        <v>0</v>
      </c>
      <c r="H195" s="182">
        <f t="shared" si="76"/>
        <v>0</v>
      </c>
      <c r="I195" s="182">
        <f t="shared" si="76"/>
        <v>0</v>
      </c>
      <c r="J195" s="182">
        <f t="shared" si="76"/>
        <v>0</v>
      </c>
      <c r="K195" s="182">
        <f t="shared" si="76"/>
        <v>0</v>
      </c>
      <c r="L195" s="182">
        <f t="shared" si="76"/>
        <v>0</v>
      </c>
      <c r="M195" s="182">
        <f t="shared" si="76"/>
        <v>0</v>
      </c>
      <c r="N195" s="182">
        <f t="shared" si="76"/>
        <v>0</v>
      </c>
      <c r="O195" s="153">
        <f t="shared" si="65"/>
        <v>0</v>
      </c>
    </row>
    <row r="196" spans="1:15" s="10" customFormat="1" ht="47.25">
      <c r="A196" s="405"/>
      <c r="B196" s="406"/>
      <c r="C196" s="219" t="s">
        <v>114</v>
      </c>
      <c r="D196" s="220"/>
      <c r="E196" s="181">
        <f>E229+E241</f>
        <v>114.4</v>
      </c>
      <c r="F196" s="181">
        <f aca="true" t="shared" si="78" ref="F196:N196">F229+F241</f>
        <v>0</v>
      </c>
      <c r="G196" s="182">
        <f t="shared" si="78"/>
        <v>1811.5</v>
      </c>
      <c r="H196" s="182">
        <f t="shared" si="78"/>
        <v>0</v>
      </c>
      <c r="I196" s="182">
        <f t="shared" si="78"/>
        <v>0</v>
      </c>
      <c r="J196" s="182">
        <f t="shared" si="78"/>
        <v>0</v>
      </c>
      <c r="K196" s="182">
        <f t="shared" si="78"/>
        <v>0</v>
      </c>
      <c r="L196" s="182">
        <f t="shared" si="78"/>
        <v>0</v>
      </c>
      <c r="M196" s="182">
        <f t="shared" si="78"/>
        <v>0</v>
      </c>
      <c r="N196" s="182">
        <f t="shared" si="78"/>
        <v>0</v>
      </c>
      <c r="O196" s="153">
        <f t="shared" si="65"/>
        <v>1811.5</v>
      </c>
    </row>
    <row r="197" spans="1:15" s="10" customFormat="1" ht="63">
      <c r="A197" s="405"/>
      <c r="B197" s="406"/>
      <c r="C197" s="219" t="s">
        <v>142</v>
      </c>
      <c r="D197" s="220"/>
      <c r="E197" s="181">
        <f>E230</f>
        <v>0</v>
      </c>
      <c r="F197" s="181">
        <f aca="true" t="shared" si="79" ref="F197:N197">F230</f>
        <v>0</v>
      </c>
      <c r="G197" s="182">
        <f t="shared" si="79"/>
        <v>0</v>
      </c>
      <c r="H197" s="182">
        <f t="shared" si="79"/>
        <v>0</v>
      </c>
      <c r="I197" s="182">
        <f t="shared" si="79"/>
        <v>0</v>
      </c>
      <c r="J197" s="182">
        <f t="shared" si="79"/>
        <v>0</v>
      </c>
      <c r="K197" s="182">
        <f t="shared" si="79"/>
        <v>0</v>
      </c>
      <c r="L197" s="182">
        <f t="shared" si="79"/>
        <v>0</v>
      </c>
      <c r="M197" s="182">
        <f t="shared" si="79"/>
        <v>0</v>
      </c>
      <c r="N197" s="182">
        <f t="shared" si="79"/>
        <v>0</v>
      </c>
      <c r="O197" s="153">
        <f t="shared" si="65"/>
        <v>0</v>
      </c>
    </row>
    <row r="198" spans="1:15" s="10" customFormat="1" ht="47.25">
      <c r="A198" s="405"/>
      <c r="B198" s="406"/>
      <c r="C198" s="219" t="s">
        <v>143</v>
      </c>
      <c r="D198" s="220"/>
      <c r="E198" s="181">
        <f>E231+E243</f>
        <v>0</v>
      </c>
      <c r="F198" s="181">
        <f aca="true" t="shared" si="80" ref="F198:N198">F231+F243</f>
        <v>0</v>
      </c>
      <c r="G198" s="182">
        <f t="shared" si="80"/>
        <v>0</v>
      </c>
      <c r="H198" s="182">
        <f t="shared" si="80"/>
        <v>0</v>
      </c>
      <c r="I198" s="182">
        <f t="shared" si="80"/>
        <v>0</v>
      </c>
      <c r="J198" s="182">
        <f t="shared" si="80"/>
        <v>0</v>
      </c>
      <c r="K198" s="182">
        <f t="shared" si="80"/>
        <v>0</v>
      </c>
      <c r="L198" s="182">
        <f t="shared" si="80"/>
        <v>0</v>
      </c>
      <c r="M198" s="182">
        <f t="shared" si="80"/>
        <v>0</v>
      </c>
      <c r="N198" s="182">
        <f t="shared" si="80"/>
        <v>0</v>
      </c>
      <c r="O198" s="153">
        <f t="shared" si="65"/>
        <v>0</v>
      </c>
    </row>
    <row r="199" spans="1:15" s="10" customFormat="1" ht="47.25">
      <c r="A199" s="405"/>
      <c r="B199" s="406"/>
      <c r="C199" s="219" t="s">
        <v>144</v>
      </c>
      <c r="D199" s="220"/>
      <c r="E199" s="181">
        <f>E232</f>
        <v>143.1</v>
      </c>
      <c r="F199" s="181">
        <f aca="true" t="shared" si="81" ref="F199:N199">F232</f>
        <v>0</v>
      </c>
      <c r="G199" s="182">
        <f t="shared" si="81"/>
        <v>0</v>
      </c>
      <c r="H199" s="182">
        <f t="shared" si="81"/>
        <v>0</v>
      </c>
      <c r="I199" s="182">
        <f t="shared" si="81"/>
        <v>0</v>
      </c>
      <c r="J199" s="182">
        <f t="shared" si="81"/>
        <v>0</v>
      </c>
      <c r="K199" s="182">
        <f t="shared" si="81"/>
        <v>0</v>
      </c>
      <c r="L199" s="182">
        <f t="shared" si="81"/>
        <v>0</v>
      </c>
      <c r="M199" s="182">
        <f t="shared" si="81"/>
        <v>0</v>
      </c>
      <c r="N199" s="182">
        <f t="shared" si="81"/>
        <v>0</v>
      </c>
      <c r="O199" s="153">
        <f t="shared" si="65"/>
        <v>0</v>
      </c>
    </row>
    <row r="200" spans="1:15" s="10" customFormat="1" ht="63">
      <c r="A200" s="405"/>
      <c r="B200" s="406"/>
      <c r="C200" s="219" t="s">
        <v>145</v>
      </c>
      <c r="D200" s="220"/>
      <c r="E200" s="181">
        <f>E233+E242</f>
        <v>142.9</v>
      </c>
      <c r="F200" s="181">
        <f aca="true" t="shared" si="82" ref="F200:N200">F233+F242</f>
        <v>1114</v>
      </c>
      <c r="G200" s="182">
        <f t="shared" si="82"/>
        <v>1114</v>
      </c>
      <c r="H200" s="182">
        <f t="shared" si="82"/>
        <v>1114</v>
      </c>
      <c r="I200" s="182">
        <f t="shared" si="82"/>
        <v>1114</v>
      </c>
      <c r="J200" s="182">
        <f t="shared" si="82"/>
        <v>1114</v>
      </c>
      <c r="K200" s="182">
        <f t="shared" si="82"/>
        <v>1114</v>
      </c>
      <c r="L200" s="182">
        <f t="shared" si="82"/>
        <v>1114</v>
      </c>
      <c r="M200" s="182">
        <f t="shared" si="82"/>
        <v>1114</v>
      </c>
      <c r="N200" s="182">
        <f t="shared" si="82"/>
        <v>1114</v>
      </c>
      <c r="O200" s="153">
        <f t="shared" si="65"/>
        <v>8912</v>
      </c>
    </row>
    <row r="201" spans="1:15" s="10" customFormat="1" ht="47.25">
      <c r="A201" s="405"/>
      <c r="B201" s="406"/>
      <c r="C201" s="219" t="s">
        <v>146</v>
      </c>
      <c r="D201" s="220"/>
      <c r="E201" s="181">
        <f>E234</f>
        <v>0</v>
      </c>
      <c r="F201" s="181">
        <f aca="true" t="shared" si="83" ref="F201:N204">F234</f>
        <v>0</v>
      </c>
      <c r="G201" s="182">
        <f t="shared" si="83"/>
        <v>0</v>
      </c>
      <c r="H201" s="182">
        <f t="shared" si="83"/>
        <v>0</v>
      </c>
      <c r="I201" s="182">
        <f t="shared" si="83"/>
        <v>0</v>
      </c>
      <c r="J201" s="182">
        <f t="shared" si="83"/>
        <v>0</v>
      </c>
      <c r="K201" s="182">
        <f t="shared" si="83"/>
        <v>0</v>
      </c>
      <c r="L201" s="182">
        <f t="shared" si="83"/>
        <v>0</v>
      </c>
      <c r="M201" s="182">
        <f t="shared" si="83"/>
        <v>0</v>
      </c>
      <c r="N201" s="182">
        <f t="shared" si="83"/>
        <v>0</v>
      </c>
      <c r="O201" s="153">
        <f t="shared" si="65"/>
        <v>0</v>
      </c>
    </row>
    <row r="202" spans="1:15" s="10" customFormat="1" ht="47.25">
      <c r="A202" s="405"/>
      <c r="B202" s="406"/>
      <c r="C202" s="219" t="s">
        <v>147</v>
      </c>
      <c r="D202" s="220"/>
      <c r="E202" s="181">
        <f>E235</f>
        <v>85.8</v>
      </c>
      <c r="F202" s="181">
        <f t="shared" si="83"/>
        <v>0</v>
      </c>
      <c r="G202" s="182">
        <f t="shared" si="83"/>
        <v>0</v>
      </c>
      <c r="H202" s="182">
        <f t="shared" si="83"/>
        <v>0</v>
      </c>
      <c r="I202" s="182">
        <f t="shared" si="83"/>
        <v>0</v>
      </c>
      <c r="J202" s="182">
        <f t="shared" si="83"/>
        <v>0</v>
      </c>
      <c r="K202" s="182">
        <f t="shared" si="83"/>
        <v>0</v>
      </c>
      <c r="L202" s="182">
        <f t="shared" si="83"/>
        <v>0</v>
      </c>
      <c r="M202" s="182">
        <f t="shared" si="83"/>
        <v>0</v>
      </c>
      <c r="N202" s="182">
        <f t="shared" si="83"/>
        <v>0</v>
      </c>
      <c r="O202" s="153">
        <f t="shared" si="65"/>
        <v>0</v>
      </c>
    </row>
    <row r="203" spans="1:15" s="10" customFormat="1" ht="63">
      <c r="A203" s="405"/>
      <c r="B203" s="406"/>
      <c r="C203" s="219" t="s">
        <v>148</v>
      </c>
      <c r="D203" s="220"/>
      <c r="E203" s="181">
        <f>E236</f>
        <v>0</v>
      </c>
      <c r="F203" s="181">
        <f t="shared" si="83"/>
        <v>0</v>
      </c>
      <c r="G203" s="182">
        <f t="shared" si="83"/>
        <v>0</v>
      </c>
      <c r="H203" s="182">
        <f t="shared" si="83"/>
        <v>0</v>
      </c>
      <c r="I203" s="182">
        <f t="shared" si="83"/>
        <v>0</v>
      </c>
      <c r="J203" s="182">
        <f t="shared" si="83"/>
        <v>0</v>
      </c>
      <c r="K203" s="182">
        <f t="shared" si="83"/>
        <v>0</v>
      </c>
      <c r="L203" s="182">
        <f t="shared" si="83"/>
        <v>0</v>
      </c>
      <c r="M203" s="182">
        <f t="shared" si="83"/>
        <v>0</v>
      </c>
      <c r="N203" s="182">
        <f t="shared" si="83"/>
        <v>0</v>
      </c>
      <c r="O203" s="153">
        <f t="shared" si="65"/>
        <v>0</v>
      </c>
    </row>
    <row r="204" spans="1:15" s="10" customFormat="1" ht="47.25">
      <c r="A204" s="405"/>
      <c r="B204" s="406"/>
      <c r="C204" s="219" t="s">
        <v>149</v>
      </c>
      <c r="D204" s="220"/>
      <c r="E204" s="181">
        <f>E237</f>
        <v>0</v>
      </c>
      <c r="F204" s="181">
        <f t="shared" si="83"/>
        <v>0</v>
      </c>
      <c r="G204" s="182">
        <f t="shared" si="83"/>
        <v>0</v>
      </c>
      <c r="H204" s="182">
        <f t="shared" si="83"/>
        <v>0</v>
      </c>
      <c r="I204" s="182">
        <f t="shared" si="83"/>
        <v>0</v>
      </c>
      <c r="J204" s="182">
        <f t="shared" si="83"/>
        <v>0</v>
      </c>
      <c r="K204" s="182">
        <f t="shared" si="83"/>
        <v>0</v>
      </c>
      <c r="L204" s="182">
        <f t="shared" si="83"/>
        <v>0</v>
      </c>
      <c r="M204" s="182">
        <f t="shared" si="83"/>
        <v>0</v>
      </c>
      <c r="N204" s="182">
        <f t="shared" si="83"/>
        <v>0</v>
      </c>
      <c r="O204" s="153">
        <f t="shared" si="65"/>
        <v>0</v>
      </c>
    </row>
    <row r="205" spans="1:15" s="10" customFormat="1" ht="173.25">
      <c r="A205" s="221"/>
      <c r="B205" s="222"/>
      <c r="C205" s="223" t="s">
        <v>106</v>
      </c>
      <c r="D205" s="220"/>
      <c r="E205" s="181">
        <f>E238+E245</f>
        <v>257.5</v>
      </c>
      <c r="F205" s="181">
        <f aca="true" t="shared" si="84" ref="F205:N205">F238+F245</f>
        <v>0</v>
      </c>
      <c r="G205" s="182">
        <f t="shared" si="84"/>
        <v>2000</v>
      </c>
      <c r="H205" s="182">
        <f t="shared" si="84"/>
        <v>0</v>
      </c>
      <c r="I205" s="182">
        <f t="shared" si="84"/>
        <v>0</v>
      </c>
      <c r="J205" s="182">
        <f t="shared" si="84"/>
        <v>0</v>
      </c>
      <c r="K205" s="182">
        <f t="shared" si="84"/>
        <v>0</v>
      </c>
      <c r="L205" s="182">
        <f t="shared" si="84"/>
        <v>0</v>
      </c>
      <c r="M205" s="182">
        <f t="shared" si="84"/>
        <v>0</v>
      </c>
      <c r="N205" s="182">
        <f t="shared" si="84"/>
        <v>0</v>
      </c>
      <c r="O205" s="153">
        <f t="shared" si="65"/>
        <v>2000</v>
      </c>
    </row>
    <row r="206" spans="1:15" s="10" customFormat="1" ht="31.5">
      <c r="A206" s="221"/>
      <c r="B206" s="222"/>
      <c r="C206" s="219" t="s">
        <v>151</v>
      </c>
      <c r="D206" s="220"/>
      <c r="E206" s="181">
        <f>E239+E244</f>
        <v>0</v>
      </c>
      <c r="F206" s="181">
        <f aca="true" t="shared" si="85" ref="F206:N206">F239+F244</f>
        <v>1286</v>
      </c>
      <c r="G206" s="182">
        <f t="shared" si="85"/>
        <v>500</v>
      </c>
      <c r="H206" s="182">
        <f t="shared" si="85"/>
        <v>0</v>
      </c>
      <c r="I206" s="182">
        <f t="shared" si="85"/>
        <v>0</v>
      </c>
      <c r="J206" s="182">
        <f t="shared" si="85"/>
        <v>0</v>
      </c>
      <c r="K206" s="182">
        <f t="shared" si="85"/>
        <v>0</v>
      </c>
      <c r="L206" s="182">
        <f t="shared" si="85"/>
        <v>0</v>
      </c>
      <c r="M206" s="182">
        <f t="shared" si="85"/>
        <v>0</v>
      </c>
      <c r="N206" s="182">
        <f t="shared" si="85"/>
        <v>0</v>
      </c>
      <c r="O206" s="153">
        <f t="shared" si="65"/>
        <v>500</v>
      </c>
    </row>
    <row r="207" spans="1:15" ht="47.25" customHeight="1">
      <c r="A207" s="374" t="s">
        <v>179</v>
      </c>
      <c r="B207" s="288" t="s">
        <v>485</v>
      </c>
      <c r="C207" s="371" t="s">
        <v>177</v>
      </c>
      <c r="D207" s="210" t="s">
        <v>135</v>
      </c>
      <c r="E207" s="187">
        <f>E208+E209+E210</f>
        <v>2941173.578</v>
      </c>
      <c r="F207" s="187">
        <f>F208+F209+F210</f>
        <v>715754.07</v>
      </c>
      <c r="G207" s="188">
        <f>G208+G209+G210</f>
        <v>1931205.9</v>
      </c>
      <c r="H207" s="188">
        <f>H208+H209+H210</f>
        <v>681844</v>
      </c>
      <c r="I207" s="188">
        <f aca="true" t="shared" si="86" ref="I207:N207">I208+I209+I210</f>
        <v>687061.8</v>
      </c>
      <c r="J207" s="188">
        <f t="shared" si="86"/>
        <v>688448.3</v>
      </c>
      <c r="K207" s="188">
        <f t="shared" si="86"/>
        <v>688448.3</v>
      </c>
      <c r="L207" s="188">
        <f t="shared" si="86"/>
        <v>688448.3</v>
      </c>
      <c r="M207" s="188">
        <f t="shared" si="86"/>
        <v>688448.3</v>
      </c>
      <c r="N207" s="188">
        <f t="shared" si="86"/>
        <v>688448.3</v>
      </c>
      <c r="O207" s="153">
        <f t="shared" si="65"/>
        <v>6742353.199999999</v>
      </c>
    </row>
    <row r="208" spans="1:15" ht="18.75">
      <c r="A208" s="375"/>
      <c r="B208" s="312"/>
      <c r="C208" s="372"/>
      <c r="D208" s="198" t="s">
        <v>439</v>
      </c>
      <c r="E208" s="181">
        <f>2000000+14270</f>
        <v>2014270</v>
      </c>
      <c r="F208" s="181">
        <v>0</v>
      </c>
      <c r="G208" s="182">
        <v>1272335</v>
      </c>
      <c r="H208" s="182">
        <v>0</v>
      </c>
      <c r="I208" s="182">
        <v>0</v>
      </c>
      <c r="J208" s="182">
        <v>0</v>
      </c>
      <c r="K208" s="182">
        <v>0</v>
      </c>
      <c r="L208" s="182">
        <v>0</v>
      </c>
      <c r="M208" s="182">
        <v>0</v>
      </c>
      <c r="N208" s="182">
        <v>0</v>
      </c>
      <c r="O208" s="153">
        <f t="shared" si="65"/>
        <v>1272335</v>
      </c>
    </row>
    <row r="209" spans="1:15" ht="18.75">
      <c r="A209" s="375"/>
      <c r="B209" s="312"/>
      <c r="C209" s="372"/>
      <c r="D209" s="198" t="s">
        <v>440</v>
      </c>
      <c r="E209" s="181">
        <f>943373-17220.5</f>
        <v>926152.5</v>
      </c>
      <c r="F209" s="181">
        <f>652172.6+54502.1</f>
        <v>706674.7</v>
      </c>
      <c r="G209" s="182">
        <f>188015.9+41901+13099+415855</f>
        <v>658870.9</v>
      </c>
      <c r="H209" s="182">
        <v>681844</v>
      </c>
      <c r="I209" s="182">
        <v>687061.8</v>
      </c>
      <c r="J209" s="182">
        <v>688448.3</v>
      </c>
      <c r="K209" s="182">
        <v>688448.3</v>
      </c>
      <c r="L209" s="182">
        <v>688448.3</v>
      </c>
      <c r="M209" s="182">
        <v>688448.3</v>
      </c>
      <c r="N209" s="182">
        <v>688448.3</v>
      </c>
      <c r="O209" s="153">
        <f t="shared" si="65"/>
        <v>5470018.199999999</v>
      </c>
    </row>
    <row r="210" spans="1:15" ht="18.75">
      <c r="A210" s="376"/>
      <c r="B210" s="289"/>
      <c r="C210" s="372"/>
      <c r="D210" s="198" t="s">
        <v>441</v>
      </c>
      <c r="E210" s="181">
        <v>751.078</v>
      </c>
      <c r="F210" s="181">
        <f>9059.37+20</f>
        <v>9079.37</v>
      </c>
      <c r="G210" s="182"/>
      <c r="H210" s="182"/>
      <c r="I210" s="182"/>
      <c r="J210" s="182"/>
      <c r="K210" s="182"/>
      <c r="L210" s="182"/>
      <c r="M210" s="182"/>
      <c r="N210" s="182"/>
      <c r="O210" s="153">
        <f t="shared" si="65"/>
        <v>0</v>
      </c>
    </row>
    <row r="211" spans="1:15" ht="18.75">
      <c r="A211" s="192"/>
      <c r="B211" s="380" t="s">
        <v>108</v>
      </c>
      <c r="C211" s="190"/>
      <c r="D211" s="210" t="s">
        <v>478</v>
      </c>
      <c r="E211" s="187">
        <f>E212+E213</f>
        <v>17200</v>
      </c>
      <c r="F211" s="187">
        <f aca="true" t="shared" si="87" ref="F211:N211">F212+F213</f>
        <v>43989.5</v>
      </c>
      <c r="G211" s="188">
        <f t="shared" si="87"/>
        <v>68000</v>
      </c>
      <c r="H211" s="188">
        <f t="shared" si="87"/>
        <v>0</v>
      </c>
      <c r="I211" s="188">
        <f t="shared" si="87"/>
        <v>0</v>
      </c>
      <c r="J211" s="188">
        <f t="shared" si="87"/>
        <v>0</v>
      </c>
      <c r="K211" s="188">
        <f t="shared" si="87"/>
        <v>0</v>
      </c>
      <c r="L211" s="188">
        <f t="shared" si="87"/>
        <v>0</v>
      </c>
      <c r="M211" s="188">
        <f t="shared" si="87"/>
        <v>0</v>
      </c>
      <c r="N211" s="224">
        <f t="shared" si="87"/>
        <v>0</v>
      </c>
      <c r="O211" s="153">
        <f t="shared" si="65"/>
        <v>68000</v>
      </c>
    </row>
    <row r="212" spans="1:15" ht="47.25" customHeight="1">
      <c r="A212" s="397" t="s">
        <v>179</v>
      </c>
      <c r="B212" s="382"/>
      <c r="C212" s="371" t="s">
        <v>177</v>
      </c>
      <c r="D212" s="225" t="s">
        <v>440</v>
      </c>
      <c r="E212" s="181">
        <v>17200</v>
      </c>
      <c r="F212" s="181">
        <f>F216</f>
        <v>43244.75</v>
      </c>
      <c r="G212" s="182">
        <v>68000</v>
      </c>
      <c r="H212" s="182">
        <v>0</v>
      </c>
      <c r="I212" s="182">
        <v>0</v>
      </c>
      <c r="J212" s="182">
        <v>0</v>
      </c>
      <c r="K212" s="182">
        <v>0</v>
      </c>
      <c r="L212" s="182">
        <v>0</v>
      </c>
      <c r="M212" s="182">
        <v>0</v>
      </c>
      <c r="N212" s="182">
        <v>0</v>
      </c>
      <c r="O212" s="153">
        <f t="shared" si="65"/>
        <v>68000</v>
      </c>
    </row>
    <row r="213" spans="1:15" ht="15.75">
      <c r="A213" s="398"/>
      <c r="B213" s="382"/>
      <c r="C213" s="373"/>
      <c r="D213" s="225" t="s">
        <v>439</v>
      </c>
      <c r="E213" s="181">
        <v>0</v>
      </c>
      <c r="F213" s="181">
        <f>F215</f>
        <v>744.75</v>
      </c>
      <c r="G213" s="182">
        <f aca="true" t="shared" si="88" ref="G213:N213">G215</f>
        <v>0</v>
      </c>
      <c r="H213" s="182">
        <f t="shared" si="88"/>
        <v>0</v>
      </c>
      <c r="I213" s="182">
        <f t="shared" si="88"/>
        <v>0</v>
      </c>
      <c r="J213" s="182">
        <f t="shared" si="88"/>
        <v>0</v>
      </c>
      <c r="K213" s="182">
        <f t="shared" si="88"/>
        <v>0</v>
      </c>
      <c r="L213" s="182">
        <f t="shared" si="88"/>
        <v>0</v>
      </c>
      <c r="M213" s="182">
        <f t="shared" si="88"/>
        <v>0</v>
      </c>
      <c r="N213" s="182">
        <f t="shared" si="88"/>
        <v>0</v>
      </c>
      <c r="O213" s="153">
        <f t="shared" si="65"/>
        <v>0</v>
      </c>
    </row>
    <row r="214" spans="1:15" ht="47.25">
      <c r="A214" s="399"/>
      <c r="B214" s="381"/>
      <c r="C214" s="84" t="s">
        <v>144</v>
      </c>
      <c r="D214" s="225" t="s">
        <v>440</v>
      </c>
      <c r="E214" s="181">
        <v>0</v>
      </c>
      <c r="F214" s="181">
        <v>0</v>
      </c>
      <c r="G214" s="182">
        <v>0</v>
      </c>
      <c r="H214" s="182">
        <v>0</v>
      </c>
      <c r="I214" s="182">
        <v>0</v>
      </c>
      <c r="J214" s="182">
        <v>0</v>
      </c>
      <c r="K214" s="182">
        <v>0</v>
      </c>
      <c r="L214" s="182">
        <v>0</v>
      </c>
      <c r="M214" s="182">
        <v>0</v>
      </c>
      <c r="N214" s="182">
        <v>0</v>
      </c>
      <c r="O214" s="153">
        <f t="shared" si="65"/>
        <v>0</v>
      </c>
    </row>
    <row r="215" spans="1:15" ht="15.75">
      <c r="A215" s="374" t="s">
        <v>486</v>
      </c>
      <c r="B215" s="128"/>
      <c r="C215" s="4"/>
      <c r="D215" s="1" t="s">
        <v>439</v>
      </c>
      <c r="E215" s="181">
        <v>0</v>
      </c>
      <c r="F215" s="181">
        <v>744.75</v>
      </c>
      <c r="G215" s="182">
        <v>0</v>
      </c>
      <c r="H215" s="182">
        <v>0</v>
      </c>
      <c r="I215" s="182">
        <v>0</v>
      </c>
      <c r="J215" s="182">
        <v>0</v>
      </c>
      <c r="K215" s="182">
        <v>0</v>
      </c>
      <c r="L215" s="182">
        <v>0</v>
      </c>
      <c r="M215" s="182">
        <v>0</v>
      </c>
      <c r="N215" s="182">
        <v>0</v>
      </c>
      <c r="O215" s="153">
        <f t="shared" si="65"/>
        <v>0</v>
      </c>
    </row>
    <row r="216" spans="1:15" ht="15.75">
      <c r="A216" s="376"/>
      <c r="B216" s="128"/>
      <c r="C216" s="4"/>
      <c r="D216" s="1" t="s">
        <v>440</v>
      </c>
      <c r="E216" s="181">
        <v>17200</v>
      </c>
      <c r="F216" s="181">
        <v>43244.75</v>
      </c>
      <c r="G216" s="182">
        <v>68000</v>
      </c>
      <c r="H216" s="182">
        <v>0</v>
      </c>
      <c r="I216" s="182">
        <v>0</v>
      </c>
      <c r="J216" s="182">
        <v>0</v>
      </c>
      <c r="K216" s="182">
        <v>0</v>
      </c>
      <c r="L216" s="182">
        <v>0</v>
      </c>
      <c r="M216" s="182">
        <v>0</v>
      </c>
      <c r="N216" s="182">
        <v>0</v>
      </c>
      <c r="O216" s="153">
        <f t="shared" si="65"/>
        <v>68000</v>
      </c>
    </row>
    <row r="217" spans="1:15" ht="117" customHeight="1">
      <c r="A217" s="16" t="s">
        <v>179</v>
      </c>
      <c r="B217" s="128" t="s">
        <v>109</v>
      </c>
      <c r="C217" s="226" t="s">
        <v>177</v>
      </c>
      <c r="D217" s="198" t="s">
        <v>440</v>
      </c>
      <c r="E217" s="181">
        <v>46278.4</v>
      </c>
      <c r="F217" s="181">
        <v>48283.3</v>
      </c>
      <c r="G217" s="188">
        <v>45097.5</v>
      </c>
      <c r="H217" s="188">
        <v>47464</v>
      </c>
      <c r="I217" s="188">
        <v>47465.2</v>
      </c>
      <c r="J217" s="188">
        <v>47480.7</v>
      </c>
      <c r="K217" s="188">
        <v>47480.7</v>
      </c>
      <c r="L217" s="188">
        <v>47480.7</v>
      </c>
      <c r="M217" s="188">
        <v>47480.7</v>
      </c>
      <c r="N217" s="188">
        <v>47480.7</v>
      </c>
      <c r="O217" s="153">
        <f aca="true" t="shared" si="89" ref="O217:O245">SUM(G217:N217)</f>
        <v>377430.20000000007</v>
      </c>
    </row>
    <row r="218" spans="1:15" ht="117" customHeight="1">
      <c r="A218" s="397" t="s">
        <v>179</v>
      </c>
      <c r="B218" s="380" t="s">
        <v>487</v>
      </c>
      <c r="C218" s="227" t="s">
        <v>481</v>
      </c>
      <c r="D218" s="199" t="s">
        <v>440</v>
      </c>
      <c r="E218" s="187">
        <f>SUM(E219:E239)</f>
        <v>1415.5</v>
      </c>
      <c r="F218" s="187">
        <f aca="true" t="shared" si="90" ref="F218:N218">SUM(F219:F239)</f>
        <v>0</v>
      </c>
      <c r="G218" s="188">
        <f t="shared" si="90"/>
        <v>2000</v>
      </c>
      <c r="H218" s="188">
        <f t="shared" si="90"/>
        <v>0</v>
      </c>
      <c r="I218" s="188">
        <f t="shared" si="90"/>
        <v>0</v>
      </c>
      <c r="J218" s="188">
        <f t="shared" si="90"/>
        <v>0</v>
      </c>
      <c r="K218" s="188">
        <f t="shared" si="90"/>
        <v>0</v>
      </c>
      <c r="L218" s="188">
        <f t="shared" si="90"/>
        <v>0</v>
      </c>
      <c r="M218" s="188">
        <f t="shared" si="90"/>
        <v>0</v>
      </c>
      <c r="N218" s="182">
        <f t="shared" si="90"/>
        <v>0</v>
      </c>
      <c r="O218" s="153">
        <f t="shared" si="89"/>
        <v>2000</v>
      </c>
    </row>
    <row r="219" spans="1:15" ht="47.25">
      <c r="A219" s="398"/>
      <c r="B219" s="382"/>
      <c r="C219" s="228" t="s">
        <v>177</v>
      </c>
      <c r="D219" s="197" t="s">
        <v>440</v>
      </c>
      <c r="E219" s="181">
        <v>0</v>
      </c>
      <c r="F219" s="181">
        <v>0</v>
      </c>
      <c r="G219" s="182">
        <v>0</v>
      </c>
      <c r="H219" s="182">
        <v>0</v>
      </c>
      <c r="I219" s="182">
        <v>0</v>
      </c>
      <c r="J219" s="182"/>
      <c r="K219" s="182">
        <v>0</v>
      </c>
      <c r="L219" s="182">
        <v>0</v>
      </c>
      <c r="M219" s="182">
        <v>0</v>
      </c>
      <c r="N219" s="182">
        <v>0</v>
      </c>
      <c r="O219" s="153">
        <f t="shared" si="89"/>
        <v>0</v>
      </c>
    </row>
    <row r="220" spans="1:15" ht="47.25" hidden="1">
      <c r="A220" s="398"/>
      <c r="B220" s="382"/>
      <c r="C220" s="228" t="s">
        <v>178</v>
      </c>
      <c r="D220" s="197" t="s">
        <v>154</v>
      </c>
      <c r="E220" s="181">
        <v>0</v>
      </c>
      <c r="F220" s="181">
        <v>0</v>
      </c>
      <c r="G220" s="182">
        <v>0</v>
      </c>
      <c r="H220" s="182">
        <v>0</v>
      </c>
      <c r="I220" s="182">
        <v>0</v>
      </c>
      <c r="J220" s="182">
        <v>0</v>
      </c>
      <c r="K220" s="182">
        <v>0</v>
      </c>
      <c r="L220" s="182">
        <v>0</v>
      </c>
      <c r="M220" s="182">
        <v>0</v>
      </c>
      <c r="N220" s="182">
        <v>0</v>
      </c>
      <c r="O220" s="153">
        <f t="shared" si="89"/>
        <v>0</v>
      </c>
    </row>
    <row r="221" spans="1:15" ht="94.5" hidden="1">
      <c r="A221" s="398"/>
      <c r="B221" s="382"/>
      <c r="C221" s="228" t="s">
        <v>136</v>
      </c>
      <c r="D221" s="197" t="s">
        <v>154</v>
      </c>
      <c r="E221" s="181">
        <v>0</v>
      </c>
      <c r="F221" s="181">
        <v>0</v>
      </c>
      <c r="G221" s="182">
        <v>0</v>
      </c>
      <c r="H221" s="182">
        <v>0</v>
      </c>
      <c r="I221" s="182">
        <v>0</v>
      </c>
      <c r="J221" s="182">
        <v>0</v>
      </c>
      <c r="K221" s="182">
        <v>0</v>
      </c>
      <c r="L221" s="182">
        <v>0</v>
      </c>
      <c r="M221" s="182">
        <v>0</v>
      </c>
      <c r="N221" s="182">
        <v>0</v>
      </c>
      <c r="O221" s="153">
        <f t="shared" si="89"/>
        <v>0</v>
      </c>
    </row>
    <row r="222" spans="1:15" ht="47.25" hidden="1">
      <c r="A222" s="398"/>
      <c r="B222" s="382"/>
      <c r="C222" s="228" t="s">
        <v>137</v>
      </c>
      <c r="D222" s="197" t="s">
        <v>440</v>
      </c>
      <c r="E222" s="181">
        <v>171.8</v>
      </c>
      <c r="F222" s="181">
        <v>0</v>
      </c>
      <c r="G222" s="182">
        <v>0</v>
      </c>
      <c r="H222" s="182">
        <v>0</v>
      </c>
      <c r="I222" s="182">
        <v>0</v>
      </c>
      <c r="J222" s="182">
        <v>0</v>
      </c>
      <c r="K222" s="182">
        <v>0</v>
      </c>
      <c r="L222" s="182">
        <v>0</v>
      </c>
      <c r="M222" s="182">
        <v>0</v>
      </c>
      <c r="N222" s="182">
        <v>0</v>
      </c>
      <c r="O222" s="153">
        <f t="shared" si="89"/>
        <v>0</v>
      </c>
    </row>
    <row r="223" spans="1:15" ht="47.25" hidden="1">
      <c r="A223" s="398"/>
      <c r="B223" s="382"/>
      <c r="C223" s="228" t="s">
        <v>138</v>
      </c>
      <c r="D223" s="197" t="s">
        <v>154</v>
      </c>
      <c r="E223" s="181">
        <v>0</v>
      </c>
      <c r="F223" s="181">
        <v>0</v>
      </c>
      <c r="G223" s="182">
        <v>0</v>
      </c>
      <c r="H223" s="182">
        <v>0</v>
      </c>
      <c r="I223" s="182">
        <v>0</v>
      </c>
      <c r="J223" s="182">
        <v>0</v>
      </c>
      <c r="K223" s="182">
        <v>0</v>
      </c>
      <c r="L223" s="182">
        <v>0</v>
      </c>
      <c r="M223" s="182">
        <v>0</v>
      </c>
      <c r="N223" s="182">
        <v>0</v>
      </c>
      <c r="O223" s="153">
        <f t="shared" si="89"/>
        <v>0</v>
      </c>
    </row>
    <row r="224" spans="1:15" ht="47.25" hidden="1">
      <c r="A224" s="398"/>
      <c r="B224" s="382"/>
      <c r="C224" s="228" t="s">
        <v>139</v>
      </c>
      <c r="D224" s="197" t="s">
        <v>154</v>
      </c>
      <c r="E224" s="181">
        <v>0</v>
      </c>
      <c r="F224" s="181">
        <v>0</v>
      </c>
      <c r="G224" s="182">
        <v>0</v>
      </c>
      <c r="H224" s="182">
        <v>0</v>
      </c>
      <c r="I224" s="182">
        <v>0</v>
      </c>
      <c r="J224" s="182">
        <v>0</v>
      </c>
      <c r="K224" s="182">
        <v>0</v>
      </c>
      <c r="L224" s="182">
        <v>0</v>
      </c>
      <c r="M224" s="182">
        <v>0</v>
      </c>
      <c r="N224" s="182">
        <v>0</v>
      </c>
      <c r="O224" s="153">
        <f t="shared" si="89"/>
        <v>0</v>
      </c>
    </row>
    <row r="225" spans="1:15" ht="93" customHeight="1" hidden="1">
      <c r="A225" s="398"/>
      <c r="B225" s="382"/>
      <c r="C225" s="228" t="s">
        <v>140</v>
      </c>
      <c r="D225" s="197" t="s">
        <v>154</v>
      </c>
      <c r="E225" s="181">
        <v>0</v>
      </c>
      <c r="F225" s="181">
        <v>0</v>
      </c>
      <c r="G225" s="182">
        <v>0</v>
      </c>
      <c r="H225" s="182">
        <v>0</v>
      </c>
      <c r="I225" s="182">
        <v>0</v>
      </c>
      <c r="J225" s="182">
        <v>0</v>
      </c>
      <c r="K225" s="182">
        <v>0</v>
      </c>
      <c r="L225" s="182">
        <v>0</v>
      </c>
      <c r="M225" s="182">
        <v>0</v>
      </c>
      <c r="N225" s="182">
        <v>0</v>
      </c>
      <c r="O225" s="153">
        <f t="shared" si="89"/>
        <v>0</v>
      </c>
    </row>
    <row r="226" spans="1:15" ht="31.5" hidden="1">
      <c r="A226" s="398"/>
      <c r="B226" s="382"/>
      <c r="C226" s="228" t="s">
        <v>60</v>
      </c>
      <c r="D226" s="197" t="s">
        <v>154</v>
      </c>
      <c r="E226" s="181">
        <v>0</v>
      </c>
      <c r="F226" s="181">
        <v>0</v>
      </c>
      <c r="G226" s="182">
        <v>0</v>
      </c>
      <c r="H226" s="182">
        <v>0</v>
      </c>
      <c r="I226" s="182">
        <v>0</v>
      </c>
      <c r="J226" s="182">
        <v>0</v>
      </c>
      <c r="K226" s="182">
        <v>0</v>
      </c>
      <c r="L226" s="182">
        <v>0</v>
      </c>
      <c r="M226" s="182">
        <v>0</v>
      </c>
      <c r="N226" s="182">
        <v>0</v>
      </c>
      <c r="O226" s="153">
        <f t="shared" si="89"/>
        <v>0</v>
      </c>
    </row>
    <row r="227" spans="1:15" ht="63" hidden="1">
      <c r="A227" s="398"/>
      <c r="B227" s="382"/>
      <c r="C227" s="228" t="s">
        <v>141</v>
      </c>
      <c r="D227" s="197" t="s">
        <v>154</v>
      </c>
      <c r="E227" s="181">
        <v>0</v>
      </c>
      <c r="F227" s="181">
        <v>0</v>
      </c>
      <c r="G227" s="182">
        <v>0</v>
      </c>
      <c r="H227" s="182">
        <v>0</v>
      </c>
      <c r="I227" s="182">
        <v>0</v>
      </c>
      <c r="J227" s="182">
        <v>0</v>
      </c>
      <c r="K227" s="182">
        <v>0</v>
      </c>
      <c r="L227" s="182">
        <v>0</v>
      </c>
      <c r="M227" s="182">
        <v>0</v>
      </c>
      <c r="N227" s="182">
        <v>0</v>
      </c>
      <c r="O227" s="153">
        <f t="shared" si="89"/>
        <v>0</v>
      </c>
    </row>
    <row r="228" spans="1:15" ht="78.75" hidden="1">
      <c r="A228" s="398"/>
      <c r="B228" s="382"/>
      <c r="C228" s="228" t="s">
        <v>150</v>
      </c>
      <c r="D228" s="197" t="s">
        <v>154</v>
      </c>
      <c r="E228" s="181">
        <v>500</v>
      </c>
      <c r="F228" s="181">
        <v>0</v>
      </c>
      <c r="G228" s="182">
        <v>0</v>
      </c>
      <c r="H228" s="182">
        <v>0</v>
      </c>
      <c r="I228" s="182">
        <v>0</v>
      </c>
      <c r="J228" s="182">
        <v>0</v>
      </c>
      <c r="K228" s="182">
        <v>0</v>
      </c>
      <c r="L228" s="182">
        <v>0</v>
      </c>
      <c r="M228" s="182">
        <v>0</v>
      </c>
      <c r="N228" s="182">
        <v>0</v>
      </c>
      <c r="O228" s="153">
        <f t="shared" si="89"/>
        <v>0</v>
      </c>
    </row>
    <row r="229" spans="1:15" ht="2.25" customHeight="1" hidden="1">
      <c r="A229" s="398"/>
      <c r="B229" s="382"/>
      <c r="C229" s="228" t="s">
        <v>114</v>
      </c>
      <c r="D229" s="197" t="s">
        <v>154</v>
      </c>
      <c r="E229" s="181">
        <v>114.4</v>
      </c>
      <c r="F229" s="181">
        <v>0</v>
      </c>
      <c r="G229" s="182">
        <v>0</v>
      </c>
      <c r="H229" s="182">
        <v>0</v>
      </c>
      <c r="I229" s="182">
        <v>0</v>
      </c>
      <c r="J229" s="182">
        <v>0</v>
      </c>
      <c r="K229" s="182">
        <v>0</v>
      </c>
      <c r="L229" s="182">
        <v>0</v>
      </c>
      <c r="M229" s="182">
        <v>0</v>
      </c>
      <c r="N229" s="182">
        <v>0</v>
      </c>
      <c r="O229" s="153">
        <f t="shared" si="89"/>
        <v>0</v>
      </c>
    </row>
    <row r="230" spans="1:15" ht="63" hidden="1">
      <c r="A230" s="398"/>
      <c r="B230" s="382"/>
      <c r="C230" s="228" t="s">
        <v>142</v>
      </c>
      <c r="D230" s="197" t="s">
        <v>154</v>
      </c>
      <c r="E230" s="181">
        <v>0</v>
      </c>
      <c r="F230" s="181">
        <v>0</v>
      </c>
      <c r="G230" s="182">
        <v>0</v>
      </c>
      <c r="H230" s="182">
        <v>0</v>
      </c>
      <c r="I230" s="182">
        <v>0</v>
      </c>
      <c r="J230" s="182">
        <v>0</v>
      </c>
      <c r="K230" s="182">
        <v>0</v>
      </c>
      <c r="L230" s="182">
        <v>0</v>
      </c>
      <c r="M230" s="182">
        <v>0</v>
      </c>
      <c r="N230" s="182">
        <v>0</v>
      </c>
      <c r="O230" s="153">
        <f t="shared" si="89"/>
        <v>0</v>
      </c>
    </row>
    <row r="231" spans="1:15" ht="47.25" hidden="1">
      <c r="A231" s="398"/>
      <c r="B231" s="382"/>
      <c r="C231" s="228" t="s">
        <v>143</v>
      </c>
      <c r="D231" s="197" t="s">
        <v>154</v>
      </c>
      <c r="E231" s="181">
        <v>0</v>
      </c>
      <c r="F231" s="181">
        <v>0</v>
      </c>
      <c r="G231" s="182">
        <v>0</v>
      </c>
      <c r="H231" s="182">
        <v>0</v>
      </c>
      <c r="I231" s="182">
        <v>0</v>
      </c>
      <c r="J231" s="182">
        <v>0</v>
      </c>
      <c r="K231" s="182">
        <v>0</v>
      </c>
      <c r="L231" s="182">
        <v>0</v>
      </c>
      <c r="M231" s="182">
        <v>0</v>
      </c>
      <c r="N231" s="182">
        <v>0</v>
      </c>
      <c r="O231" s="153">
        <f t="shared" si="89"/>
        <v>0</v>
      </c>
    </row>
    <row r="232" spans="1:15" ht="47.25" hidden="1">
      <c r="A232" s="398"/>
      <c r="B232" s="382"/>
      <c r="C232" s="228" t="s">
        <v>144</v>
      </c>
      <c r="D232" s="197" t="s">
        <v>154</v>
      </c>
      <c r="E232" s="181">
        <v>143.1</v>
      </c>
      <c r="F232" s="181">
        <v>0</v>
      </c>
      <c r="G232" s="182">
        <v>0</v>
      </c>
      <c r="H232" s="182">
        <v>0</v>
      </c>
      <c r="I232" s="182">
        <v>0</v>
      </c>
      <c r="J232" s="182">
        <v>0</v>
      </c>
      <c r="K232" s="182">
        <v>0</v>
      </c>
      <c r="L232" s="182">
        <v>0</v>
      </c>
      <c r="M232" s="182">
        <v>0</v>
      </c>
      <c r="N232" s="182">
        <v>0</v>
      </c>
      <c r="O232" s="153">
        <f t="shared" si="89"/>
        <v>0</v>
      </c>
    </row>
    <row r="233" spans="1:15" ht="63" hidden="1">
      <c r="A233" s="398"/>
      <c r="B233" s="382"/>
      <c r="C233" s="228" t="s">
        <v>145</v>
      </c>
      <c r="D233" s="197" t="s">
        <v>154</v>
      </c>
      <c r="E233" s="181">
        <v>142.9</v>
      </c>
      <c r="F233" s="181">
        <v>0</v>
      </c>
      <c r="G233" s="182">
        <v>0</v>
      </c>
      <c r="H233" s="182">
        <v>0</v>
      </c>
      <c r="I233" s="182">
        <v>0</v>
      </c>
      <c r="J233" s="182">
        <v>0</v>
      </c>
      <c r="K233" s="182">
        <v>0</v>
      </c>
      <c r="L233" s="182">
        <v>0</v>
      </c>
      <c r="M233" s="182">
        <v>0</v>
      </c>
      <c r="N233" s="182">
        <v>0</v>
      </c>
      <c r="O233" s="153">
        <f t="shared" si="89"/>
        <v>0</v>
      </c>
    </row>
    <row r="234" spans="1:15" ht="47.25" hidden="1">
      <c r="A234" s="398"/>
      <c r="B234" s="382"/>
      <c r="C234" s="228" t="s">
        <v>146</v>
      </c>
      <c r="D234" s="197" t="s">
        <v>154</v>
      </c>
      <c r="E234" s="181">
        <v>0</v>
      </c>
      <c r="F234" s="181">
        <v>0</v>
      </c>
      <c r="G234" s="182">
        <v>0</v>
      </c>
      <c r="H234" s="182">
        <v>0</v>
      </c>
      <c r="I234" s="182">
        <v>0</v>
      </c>
      <c r="J234" s="182">
        <v>0</v>
      </c>
      <c r="K234" s="182">
        <v>0</v>
      </c>
      <c r="L234" s="182">
        <v>0</v>
      </c>
      <c r="M234" s="182">
        <v>0</v>
      </c>
      <c r="N234" s="182">
        <v>0</v>
      </c>
      <c r="O234" s="153">
        <f t="shared" si="89"/>
        <v>0</v>
      </c>
    </row>
    <row r="235" spans="1:15" ht="47.25" hidden="1">
      <c r="A235" s="398"/>
      <c r="B235" s="382"/>
      <c r="C235" s="228" t="s">
        <v>147</v>
      </c>
      <c r="D235" s="197" t="s">
        <v>154</v>
      </c>
      <c r="E235" s="181">
        <v>85.8</v>
      </c>
      <c r="F235" s="181">
        <v>0</v>
      </c>
      <c r="G235" s="182">
        <v>0</v>
      </c>
      <c r="H235" s="182">
        <v>0</v>
      </c>
      <c r="I235" s="182">
        <v>0</v>
      </c>
      <c r="J235" s="182">
        <v>0</v>
      </c>
      <c r="K235" s="182">
        <v>0</v>
      </c>
      <c r="L235" s="182">
        <v>0</v>
      </c>
      <c r="M235" s="182">
        <v>0</v>
      </c>
      <c r="N235" s="182">
        <v>0</v>
      </c>
      <c r="O235" s="153">
        <f t="shared" si="89"/>
        <v>0</v>
      </c>
    </row>
    <row r="236" spans="1:15" ht="63" hidden="1">
      <c r="A236" s="398"/>
      <c r="B236" s="382"/>
      <c r="C236" s="228" t="s">
        <v>148</v>
      </c>
      <c r="D236" s="197" t="s">
        <v>154</v>
      </c>
      <c r="E236" s="181">
        <v>0</v>
      </c>
      <c r="F236" s="181">
        <v>0</v>
      </c>
      <c r="G236" s="182">
        <v>0</v>
      </c>
      <c r="H236" s="182">
        <v>0</v>
      </c>
      <c r="I236" s="182">
        <v>0</v>
      </c>
      <c r="J236" s="182">
        <v>0</v>
      </c>
      <c r="K236" s="182">
        <v>0</v>
      </c>
      <c r="L236" s="182">
        <v>0</v>
      </c>
      <c r="M236" s="182">
        <v>0</v>
      </c>
      <c r="N236" s="182">
        <v>0</v>
      </c>
      <c r="O236" s="153">
        <f t="shared" si="89"/>
        <v>0</v>
      </c>
    </row>
    <row r="237" spans="1:15" ht="47.25" hidden="1">
      <c r="A237" s="398"/>
      <c r="B237" s="382"/>
      <c r="C237" s="228" t="s">
        <v>149</v>
      </c>
      <c r="D237" s="197" t="s">
        <v>154</v>
      </c>
      <c r="E237" s="181">
        <v>0</v>
      </c>
      <c r="F237" s="181">
        <v>0</v>
      </c>
      <c r="G237" s="182">
        <v>0</v>
      </c>
      <c r="H237" s="182">
        <v>0</v>
      </c>
      <c r="I237" s="182">
        <v>0</v>
      </c>
      <c r="J237" s="182">
        <v>0</v>
      </c>
      <c r="K237" s="182">
        <v>0</v>
      </c>
      <c r="L237" s="182">
        <v>0</v>
      </c>
      <c r="M237" s="182">
        <v>0</v>
      </c>
      <c r="N237" s="182">
        <v>0</v>
      </c>
      <c r="O237" s="153">
        <f t="shared" si="89"/>
        <v>0</v>
      </c>
    </row>
    <row r="238" spans="1:15" ht="172.5" customHeight="1">
      <c r="A238" s="398"/>
      <c r="B238" s="382"/>
      <c r="C238" s="185" t="s">
        <v>106</v>
      </c>
      <c r="D238" s="197" t="s">
        <v>154</v>
      </c>
      <c r="E238" s="181">
        <v>257.5</v>
      </c>
      <c r="F238" s="181">
        <v>0</v>
      </c>
      <c r="G238" s="182">
        <v>2000</v>
      </c>
      <c r="H238" s="182">
        <v>0</v>
      </c>
      <c r="I238" s="182">
        <v>0</v>
      </c>
      <c r="J238" s="182">
        <v>0</v>
      </c>
      <c r="K238" s="182">
        <v>0</v>
      </c>
      <c r="L238" s="182">
        <v>0</v>
      </c>
      <c r="M238" s="182">
        <v>0</v>
      </c>
      <c r="N238" s="182">
        <v>0</v>
      </c>
      <c r="O238" s="153">
        <f t="shared" si="89"/>
        <v>2000</v>
      </c>
    </row>
    <row r="239" spans="1:15" ht="31.5" hidden="1">
      <c r="A239" s="399"/>
      <c r="B239" s="381"/>
      <c r="C239" s="228" t="s">
        <v>151</v>
      </c>
      <c r="D239" s="197" t="s">
        <v>154</v>
      </c>
      <c r="E239" s="181">
        <v>0</v>
      </c>
      <c r="F239" s="181">
        <v>0</v>
      </c>
      <c r="G239" s="182">
        <v>0</v>
      </c>
      <c r="H239" s="182">
        <v>0</v>
      </c>
      <c r="I239" s="182">
        <v>0</v>
      </c>
      <c r="J239" s="182">
        <v>0</v>
      </c>
      <c r="K239" s="182">
        <v>0</v>
      </c>
      <c r="L239" s="182">
        <v>0</v>
      </c>
      <c r="M239" s="182">
        <v>0</v>
      </c>
      <c r="N239" s="182">
        <v>0</v>
      </c>
      <c r="O239" s="153">
        <f t="shared" si="89"/>
        <v>0</v>
      </c>
    </row>
    <row r="240" spans="1:15" ht="51" customHeight="1">
      <c r="A240" s="407" t="s">
        <v>179</v>
      </c>
      <c r="B240" s="322" t="s">
        <v>111</v>
      </c>
      <c r="C240" s="14" t="s">
        <v>177</v>
      </c>
      <c r="D240" s="198" t="s">
        <v>440</v>
      </c>
      <c r="E240" s="181">
        <v>17220.5</v>
      </c>
      <c r="F240" s="181">
        <f>14175+5100</f>
        <v>19275</v>
      </c>
      <c r="G240" s="182">
        <v>46678.9</v>
      </c>
      <c r="H240" s="182">
        <v>3170.3</v>
      </c>
      <c r="I240" s="182">
        <v>3170.3</v>
      </c>
      <c r="J240" s="182">
        <v>3170.3</v>
      </c>
      <c r="K240" s="182">
        <v>3170.3</v>
      </c>
      <c r="L240" s="182">
        <v>3170.3</v>
      </c>
      <c r="M240" s="182">
        <v>3170.3</v>
      </c>
      <c r="N240" s="182">
        <v>3170.3</v>
      </c>
      <c r="O240" s="153">
        <f t="shared" si="89"/>
        <v>68871.00000000001</v>
      </c>
    </row>
    <row r="241" spans="1:15" ht="48" customHeight="1">
      <c r="A241" s="407"/>
      <c r="B241" s="322"/>
      <c r="C241" s="14" t="s">
        <v>114</v>
      </c>
      <c r="D241" s="198" t="s">
        <v>154</v>
      </c>
      <c r="E241" s="181">
        <v>0</v>
      </c>
      <c r="F241" s="181">
        <v>0</v>
      </c>
      <c r="G241" s="182">
        <v>1811.5</v>
      </c>
      <c r="H241" s="182">
        <v>0</v>
      </c>
      <c r="I241" s="182">
        <v>0</v>
      </c>
      <c r="J241" s="182">
        <v>0</v>
      </c>
      <c r="K241" s="182">
        <v>0</v>
      </c>
      <c r="L241" s="182">
        <v>0</v>
      </c>
      <c r="M241" s="182">
        <v>0</v>
      </c>
      <c r="N241" s="182">
        <v>0</v>
      </c>
      <c r="O241" s="153">
        <f t="shared" si="89"/>
        <v>1811.5</v>
      </c>
    </row>
    <row r="242" spans="1:15" ht="66.75" customHeight="1">
      <c r="A242" s="407"/>
      <c r="B242" s="322"/>
      <c r="C242" s="14" t="s">
        <v>145</v>
      </c>
      <c r="D242" s="198" t="s">
        <v>154</v>
      </c>
      <c r="E242" s="181">
        <v>0</v>
      </c>
      <c r="F242" s="181">
        <v>1114</v>
      </c>
      <c r="G242" s="182">
        <f>906.9+207.1</f>
        <v>1114</v>
      </c>
      <c r="H242" s="182">
        <f>906.9+207.1</f>
        <v>1114</v>
      </c>
      <c r="I242" s="182">
        <f aca="true" t="shared" si="91" ref="I242:N242">906.9+207.1</f>
        <v>1114</v>
      </c>
      <c r="J242" s="182">
        <f t="shared" si="91"/>
        <v>1114</v>
      </c>
      <c r="K242" s="182">
        <f t="shared" si="91"/>
        <v>1114</v>
      </c>
      <c r="L242" s="182">
        <f t="shared" si="91"/>
        <v>1114</v>
      </c>
      <c r="M242" s="182">
        <f t="shared" si="91"/>
        <v>1114</v>
      </c>
      <c r="N242" s="182">
        <f t="shared" si="91"/>
        <v>1114</v>
      </c>
      <c r="O242" s="153">
        <f t="shared" si="89"/>
        <v>8912</v>
      </c>
    </row>
    <row r="243" spans="1:15" ht="53.25" customHeight="1">
      <c r="A243" s="407"/>
      <c r="B243" s="322"/>
      <c r="C243" s="14" t="s">
        <v>143</v>
      </c>
      <c r="D243" s="198" t="s">
        <v>154</v>
      </c>
      <c r="E243" s="181">
        <v>0</v>
      </c>
      <c r="F243" s="181">
        <v>0</v>
      </c>
      <c r="G243" s="182">
        <v>0</v>
      </c>
      <c r="H243" s="182">
        <v>0</v>
      </c>
      <c r="I243" s="182">
        <v>0</v>
      </c>
      <c r="J243" s="182">
        <v>0</v>
      </c>
      <c r="K243" s="182">
        <v>0</v>
      </c>
      <c r="L243" s="182">
        <v>0</v>
      </c>
      <c r="M243" s="182">
        <v>0</v>
      </c>
      <c r="N243" s="182">
        <v>0</v>
      </c>
      <c r="O243" s="153">
        <f t="shared" si="89"/>
        <v>0</v>
      </c>
    </row>
    <row r="244" spans="1:15" ht="31.5">
      <c r="A244" s="407"/>
      <c r="B244" s="322"/>
      <c r="C244" s="14" t="s">
        <v>151</v>
      </c>
      <c r="D244" s="198" t="s">
        <v>154</v>
      </c>
      <c r="E244" s="181">
        <v>0</v>
      </c>
      <c r="F244" s="181">
        <v>1286</v>
      </c>
      <c r="G244" s="182">
        <v>500</v>
      </c>
      <c r="H244" s="182">
        <v>0</v>
      </c>
      <c r="I244" s="182">
        <v>0</v>
      </c>
      <c r="J244" s="182">
        <v>0</v>
      </c>
      <c r="K244" s="182">
        <v>0</v>
      </c>
      <c r="L244" s="182">
        <v>0</v>
      </c>
      <c r="M244" s="182">
        <v>0</v>
      </c>
      <c r="N244" s="182">
        <v>0</v>
      </c>
      <c r="O244" s="153">
        <f t="shared" si="89"/>
        <v>500</v>
      </c>
    </row>
    <row r="245" spans="1:15" ht="173.25">
      <c r="A245" s="407"/>
      <c r="B245" s="322"/>
      <c r="C245" s="14" t="s">
        <v>106</v>
      </c>
      <c r="D245" s="198" t="s">
        <v>154</v>
      </c>
      <c r="E245" s="181">
        <v>0</v>
      </c>
      <c r="F245" s="181">
        <v>0</v>
      </c>
      <c r="G245" s="182">
        <v>0</v>
      </c>
      <c r="H245" s="182">
        <v>0</v>
      </c>
      <c r="I245" s="182">
        <v>0</v>
      </c>
      <c r="J245" s="182">
        <v>0</v>
      </c>
      <c r="K245" s="182">
        <v>0</v>
      </c>
      <c r="L245" s="182">
        <v>0</v>
      </c>
      <c r="M245" s="182">
        <v>0</v>
      </c>
      <c r="N245" s="182">
        <v>0</v>
      </c>
      <c r="O245" s="153">
        <f t="shared" si="89"/>
        <v>0</v>
      </c>
    </row>
    <row r="246" ht="12.75">
      <c r="C246" s="4"/>
    </row>
    <row r="247" ht="12.75">
      <c r="C247" s="4"/>
    </row>
    <row r="256" ht="12.75">
      <c r="G256" s="4"/>
    </row>
    <row r="257" ht="12.75">
      <c r="G257" s="4"/>
    </row>
  </sheetData>
  <sheetProtection/>
  <mergeCells count="73">
    <mergeCell ref="A240:A245"/>
    <mergeCell ref="B240:B245"/>
    <mergeCell ref="C73:C75"/>
    <mergeCell ref="B73:B75"/>
    <mergeCell ref="C59:C61"/>
    <mergeCell ref="B211:B214"/>
    <mergeCell ref="A212:A214"/>
    <mergeCell ref="C212:C213"/>
    <mergeCell ref="A215:A216"/>
    <mergeCell ref="A218:A239"/>
    <mergeCell ref="B218:B239"/>
    <mergeCell ref="B171:B172"/>
    <mergeCell ref="B177:B180"/>
    <mergeCell ref="C177:C180"/>
    <mergeCell ref="A182:A204"/>
    <mergeCell ref="B182:B204"/>
    <mergeCell ref="A207:A210"/>
    <mergeCell ref="B207:B210"/>
    <mergeCell ref="C207:C210"/>
    <mergeCell ref="B163:B165"/>
    <mergeCell ref="C163:C165"/>
    <mergeCell ref="A164:A165"/>
    <mergeCell ref="B166:B167"/>
    <mergeCell ref="B168:B170"/>
    <mergeCell ref="C168:C170"/>
    <mergeCell ref="A143:A144"/>
    <mergeCell ref="B143:B145"/>
    <mergeCell ref="C143:C162"/>
    <mergeCell ref="A146:A149"/>
    <mergeCell ref="B146:B149"/>
    <mergeCell ref="B150:B152"/>
    <mergeCell ref="B153:B155"/>
    <mergeCell ref="A154:A155"/>
    <mergeCell ref="B156:B158"/>
    <mergeCell ref="B159:B162"/>
    <mergeCell ref="A103:A104"/>
    <mergeCell ref="B103:B104"/>
    <mergeCell ref="B110:B112"/>
    <mergeCell ref="C110:C112"/>
    <mergeCell ref="B115:B142"/>
    <mergeCell ref="C115:C119"/>
    <mergeCell ref="C120:C122"/>
    <mergeCell ref="A121:A142"/>
    <mergeCell ref="B80:B85"/>
    <mergeCell ref="C80:C84"/>
    <mergeCell ref="A81:A85"/>
    <mergeCell ref="C86:C95"/>
    <mergeCell ref="B90:B91"/>
    <mergeCell ref="B98:B100"/>
    <mergeCell ref="C98:C100"/>
    <mergeCell ref="B68:B72"/>
    <mergeCell ref="C68:C72"/>
    <mergeCell ref="A69:A72"/>
    <mergeCell ref="A76:A78"/>
    <mergeCell ref="B76:B78"/>
    <mergeCell ref="C76:C77"/>
    <mergeCell ref="A9:A13"/>
    <mergeCell ref="B9:B13"/>
    <mergeCell ref="C9:C13"/>
    <mergeCell ref="A14:A35"/>
    <mergeCell ref="B14:B35"/>
    <mergeCell ref="A40:A67"/>
    <mergeCell ref="B40:B67"/>
    <mergeCell ref="C40:C45"/>
    <mergeCell ref="A4:B4"/>
    <mergeCell ref="C4:N4"/>
    <mergeCell ref="A5:B5"/>
    <mergeCell ref="C5:N5"/>
    <mergeCell ref="A6:A8"/>
    <mergeCell ref="B6:B8"/>
    <mergeCell ref="C6:C8"/>
    <mergeCell ref="D6:D8"/>
    <mergeCell ref="E6:N6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LOREY</dc:creator>
  <cp:keywords/>
  <dc:description/>
  <cp:lastModifiedBy>user</cp:lastModifiedBy>
  <cp:lastPrinted>2014-01-15T01:28:42Z</cp:lastPrinted>
  <dcterms:created xsi:type="dcterms:W3CDTF">2012-05-15T09:47:53Z</dcterms:created>
  <dcterms:modified xsi:type="dcterms:W3CDTF">2014-01-15T01:41:07Z</dcterms:modified>
  <cp:category/>
  <cp:version/>
  <cp:contentType/>
  <cp:contentStatus/>
</cp:coreProperties>
</file>